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500" firstSheet="0" activeTab="0"/>
  </bookViews>
  <sheets>
    <sheet name="README" sheetId="1" state="visible" r:id="rId3"/>
    <sheet name="Inputs" sheetId="2" state="visible" r:id="rId4"/>
    <sheet name="CAPEX" sheetId="3" state="visible" r:id="rId5"/>
    <sheet name="OPEX" sheetId="4" state="visible" r:id="rId6"/>
    <sheet name="Capacity" sheetId="5" state="visible" r:id="rId7"/>
    <sheet name="PnL" sheetId="6" state="visible" r:id="rId8"/>
    <sheet name="Ramp"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<sst xmlns="http://schemas.openxmlformats.org/spreadsheetml/2006/main" count="381" uniqueCount="322">
  <si>
    <t xml:space="preserve">Game Server Hosting: Full Cost Model</t>
  </si>
  <si>
    <t xml:space="preserve">Companion spreadsheet to the article on mc-gameserver-mieten.de — all figures net of VAT, in EUR. German market.</t>
  </si>
  <si>
    <t xml:space="preserve">WHAT THIS IS</t>
  </si>
  <si>
    <t xml:space="preserve">A bottom-up cost and profitability model for a three-node game server hosting cluster in a German colocation facility, serving Minecraft and Valheim customers. Every output is driven by formulas from the Inputs tab. Change an assumption there and the whole model recalculates.</t>
  </si>
  <si>
    <t xml:space="preserve">THIS IS NOT A BUSINESS PLAN</t>
  </si>
  <si>
    <t xml:space="preserve">Deliberately excluded: owner's salary, staff costs, depreciation of the hardware, financing costs and interest, office or workspace rent, income and trade tax, downtime, bad debt, and legal fees. It is an operating-cost calculation, nothing more. Consult an accountant before acting on any of it.</t>
  </si>
  <si>
    <t xml:space="preserve">HOW TO USE IT</t>
  </si>
  <si>
    <t xml:space="preserve">This file is shared read-only. To change anything, make your own copy via File &gt; Make a copy. Only the blue cells with a yellow fill on the Inputs tab are meant to be edited; everything else is a formula. Start with the three assumptions that move the result most: peak concurrency, servers sold per node, and the monthly product prices.</t>
  </si>
  <si>
    <t xml:space="preserve">COLOUR LEGEND</t>
  </si>
  <si>
    <t xml:space="preserve">Blue text, yellow fill</t>
  </si>
  <si>
    <t xml:space="preserve">Input assumption — edit these</t>
  </si>
  <si>
    <t xml:space="preserve">Black text</t>
  </si>
  <si>
    <t xml:space="preserve">Calculated within the same tab — do not overwrite</t>
  </si>
  <si>
    <t xml:space="preserve">Green text</t>
  </si>
  <si>
    <t xml:space="preserve">Pulled from another tab — do not overwrite</t>
  </si>
  <si>
    <t xml:space="preserve">TABS</t>
  </si>
  <si>
    <t xml:space="preserve">Inputs</t>
  </si>
  <si>
    <t xml:space="preserve">Every assumption in the model, grouped into nine sections.</t>
  </si>
  <si>
    <t xml:space="preserve">CAPEX</t>
  </si>
  <si>
    <t xml:space="preserve">One-off hardware investment, itemised.</t>
  </si>
  <si>
    <t xml:space="preserve">OPEX</t>
  </si>
  <si>
    <t xml:space="preserve">Monthly running costs, including the electricity calculation.</t>
  </si>
  <si>
    <t xml:space="preserve">Capacity</t>
  </si>
  <si>
    <t xml:space="preserve">Per-node overselling model: how many customers fit, and what peak demand looks like.</t>
  </si>
  <si>
    <t xml:space="preserve">PnL</t>
  </si>
  <si>
    <t xml:space="preserve">Revenue, result, break-even, payback, workload and the second-cluster case.</t>
  </si>
  <si>
    <t xml:space="preserve">Ramp</t>
  </si>
  <si>
    <t xml:space="preserve">72-month cash flow from launch to full occupancy, showing when the capital is recovered.</t>
  </si>
  <si>
    <t xml:space="preserve">SOURCES &amp; ASSUMPTIONS</t>
  </si>
  <si>
    <t xml:space="preserve">Hardware prices</t>
  </si>
  <si>
    <t xml:space="preserve">Cheapest listed offer on Geizhals.de for tray/bulk parts, converted to net, 25 October 2026. Server memory costs roughly six times its late-2025 price and enterprise SSDs roughly three times; prices move, re-check before relying on them.</t>
  </si>
  <si>
    <t xml:space="preserve">Electricity</t>
  </si>
  <si>
    <t xml:space="preserve">0.35 EUR/kWh net. German colocation providers currently quote roughly 0.33 to 0.45 EUR/kWh, billed on measured consumption. The allowance included in a rack-space price is token only (typically 50 VA or 85 W per rack unit) and irrelevant for a 500 W node.</t>
  </si>
  <si>
    <t xml:space="preserve">Peak concurrency</t>
  </si>
  <si>
    <t xml:space="preserve">30% of RUNNING servers have players on them. Own estimate from operator reports in hosting forums, not a measured statistic. Note this differs from the share of BOOKED servers that are switched on at all, which is what drives CPU on persistent-world games; the model conservatively assumes every booked server runs.</t>
  </si>
  <si>
    <t xml:space="preserve">Idle / active resources</t>
  </si>
  <si>
    <t xml:space="preserve">Valheim 1.5 GB idle, up to 4 GB under load; an operator reports a measured median of 1.4-1.6 GB with outliers to 2.4 GB. Minecraft 2 GB idle with -Xms unpinned, up to 6 GB under load. CPU consumption per instance is section 9 on the Inputs tab: Valheim roughly 1.0 threads with players and 0.8 idle, because the server process keeps running whether or not anyone is online. Minecraft keeps the allocated cap of 2, since it parallelises chunk generation and I/O, and close to zero when idle.</t>
  </si>
  <si>
    <t xml:space="preserve">Ticket rate</t>
  </si>
  <si>
    <t xml:space="preserve">13% of customers open at least one ticket per month. Rule of thumb repeatedly cited by operators; no published source found.</t>
  </si>
  <si>
    <t xml:space="preserve">Payment fees</t>
  </si>
  <si>
    <t xml:space="preserve">0.35 EUR fixed plus 2.49% of gross per transaction, typical PayPal/Stripe SME level.</t>
  </si>
  <si>
    <t xml:space="preserve">VAT</t>
  </si>
  <si>
    <t xml:space="preserve">19% German standard rate. Customer-facing prices are gross; the model works in net figures throughout.</t>
  </si>
  <si>
    <t xml:space="preserve">SOURCE AND CONTACT</t>
  </si>
  <si>
    <t xml:space="preserve">Full write-up</t>
  </si>
  <si>
    <t xml:space="preserve">https://mc-gameserver-mieten.de/gaming-blog/gameserver-hoster-werden/</t>
  </si>
  <si>
    <t xml:space="preserve">Language note</t>
  </si>
  <si>
    <t xml:space="preserve">The article is in German; this model is in English. Every figure below is derived from the same calculation, so the spreadsheet stands on its own if you do not read German.</t>
  </si>
  <si>
    <t xml:space="preserve">Model version</t>
  </si>
  <si>
    <t xml:space="preserve">1.2 — October 2026. Changes against 1.1: hardware prices updated to current market level (25 October 2026); memory and SSD prices have multiplied since late 2025, raising the investment from about 26,000 to about 64,000 EUR. Ramp tab extended from 48 to 72 months because capital recovery now falls beyond month 48. Running costs and monthly results are unchanged. Changes in 1.1 against 1.0: CPU consumption per instance modelled explicitly (Inputs section 9) and checked against physical cores.</t>
  </si>
  <si>
    <t xml:space="preserve">Licence</t>
  </si>
  <si>
    <t xml:space="preserve">Free to copy, adapt and republish with attribution. If you find an error in any line, tell me and I will correct both the model and the article, and note what changed.</t>
  </si>
  <si>
    <t xml:space="preserve">Game Server Hosting Cost Model v1.2  ·  Source and full write-up (in German): mc-gameserver-mieten.de/gaming-blog/gameserver-hoster-werden/  ·  Free to copy, adapt and republish with attribution. Found an error? Tell me and I will correct it.</t>
  </si>
  <si>
    <t xml:space="preserve">Input Assumptions</t>
  </si>
  <si>
    <t xml:space="preserve">Edit the blue cells only. Everything on the other tabs is derived from this sheet.</t>
  </si>
  <si>
    <t xml:space="preserve">Assumption</t>
  </si>
  <si>
    <t xml:space="preserve">Value</t>
  </si>
  <si>
    <t xml:space="preserve">Unit</t>
  </si>
  <si>
    <t xml:space="preserve">Note</t>
  </si>
  <si>
    <t xml:space="preserve">1. HARDWARE PRICES (per unit, net)</t>
  </si>
  <si>
    <t xml:space="preserve">CPU — Node 1 (AMD EPYC 9474F, tray)</t>
  </si>
  <si>
    <t xml:space="preserve">EUR</t>
  </si>
  <si>
    <t xml:space="preserve">48C/96T, 3.6 GHz base, 256 MB L3. Frequency-optimised part.</t>
  </si>
  <si>
    <t xml:space="preserve">CPU — Nodes 2 &amp; 3 (AMD EPYC 9654, tray)</t>
  </si>
  <si>
    <t xml:space="preserve">96C/192T, 384 MB L3. Street price far below the 2022 list price.</t>
  </si>
  <si>
    <t xml:space="preserve">RAM — DDR5-4800 ECC RDIMM 32 GB</t>
  </si>
  <si>
    <t xml:space="preserve">All 12 channels must be populated identically for full bandwidth. Cheapest listed offer October 2026; roughly six times the price of late 2025 because of AI-driven server DRAM demand. Now the largest single item in the model.</t>
  </si>
  <si>
    <t xml:space="preserve">SSD — U.2/U.3 PCIe Gen5 NVMe 3.84 TB, PLP</t>
  </si>
  <si>
    <t xml:space="preserve">Two per node, mirrored in a ZFS pool. Roughly a third more expensive than in July 2026.</t>
  </si>
  <si>
    <t xml:space="preserve">Barebone — 1U SP5, redundant PSU</t>
  </si>
  <si>
    <t xml:space="preserve">Chassis, board, backplane, redundant PSUs (e.g. Gigabyte R163 series).</t>
  </si>
  <si>
    <t xml:space="preserve">NIC — dual-port 10G SFP+</t>
  </si>
  <si>
    <t xml:space="preserve">Bonded via LACP (e.g. Intel X710-DA2).</t>
  </si>
  <si>
    <t xml:space="preserve">Miscellaneous — rails, cabling, spares, licences</t>
  </si>
  <si>
    <t xml:space="preserve">One-off. Panel software (Pelican) is free; billing licences sit in OPEX.</t>
  </si>
  <si>
    <t xml:space="preserve">2. CLUSTER CONFIGURATION</t>
  </si>
  <si>
    <t xml:space="preserve">Number of nodes</t>
  </si>
  <si>
    <t xml:space="preserve">count</t>
  </si>
  <si>
    <t xml:space="preserve">One Minecraft node, two Valheim nodes.</t>
  </si>
  <si>
    <t xml:space="preserve">DIMM slots populated per node</t>
  </si>
  <si>
    <t xml:space="preserve">Genoa has 12 memory channels. Anything other than 12 costs bandwidth.</t>
  </si>
  <si>
    <t xml:space="preserve">DIMM size</t>
  </si>
  <si>
    <t xml:space="preserve">GB</t>
  </si>
  <si>
    <t xml:space="preserve">12 x 32 GB = 384 GB. Note that 512 GB cannot be built across 12 channels.</t>
  </si>
  <si>
    <t xml:space="preserve">NVMe drives per node</t>
  </si>
  <si>
    <t xml:space="preserve">Mirrored.</t>
  </si>
  <si>
    <t xml:space="preserve">CPU threads — Node 1</t>
  </si>
  <si>
    <t xml:space="preserve">threads</t>
  </si>
  <si>
    <t xml:space="preserve">EPYC 9474F.</t>
  </si>
  <si>
    <t xml:space="preserve">CPU threads — Nodes 2 &amp; 3</t>
  </si>
  <si>
    <t xml:space="preserve">EPYC 9654.</t>
  </si>
  <si>
    <t xml:space="preserve">3. MONTHLY OPERATING COSTS (net)</t>
  </si>
  <si>
    <t xml:space="preserve">Colocation housing, 3U incl. uplink and IP subnets</t>
  </si>
  <si>
    <t xml:space="preserve">EUR/mo</t>
  </si>
  <si>
    <t xml:space="preserve">Frankfurt level. Excludes electricity beyond a token allowance.</t>
  </si>
  <si>
    <t xml:space="preserve">Electricity price</t>
  </si>
  <si>
    <t xml:space="preserve">EUR/kWh</t>
  </si>
  <si>
    <t xml:space="preserve">German colocation range is roughly 0.33–0.45 EUR/kWh net, billed on measured consumption.</t>
  </si>
  <si>
    <t xml:space="preserve">Average power draw per node</t>
  </si>
  <si>
    <t xml:space="preserve">W</t>
  </si>
  <si>
    <t xml:space="preserve">EPYC 9654 TDP is 360 W but game hosting rarely runs flat out. Includes RAM, NVMe, fans.</t>
  </si>
  <si>
    <t xml:space="preserve">Hours per month</t>
  </si>
  <si>
    <t xml:space="preserve">h</t>
  </si>
  <si>
    <t xml:space="preserve">Used for the kWh calculation.</t>
  </si>
  <si>
    <t xml:space="preserve">Filtered transit / DDoS protection</t>
  </si>
  <si>
    <t xml:space="preserve">Specialist game-grade L3-L7 filtering. Price depends heavily on committed bandwidth; widest uncertainty in the model.</t>
  </si>
  <si>
    <t xml:space="preserve">Backup storage (S3-compatible, ~3 TB)</t>
  </si>
  <si>
    <t xml:space="preserve">Versioned world backups.</t>
  </si>
  <si>
    <t xml:space="preserve">Panel add-ons and billing licences</t>
  </si>
  <si>
    <t xml:space="preserve">WHMCS plus panel extensions. The panel itself (Pelican) is free.</t>
  </si>
  <si>
    <t xml:space="preserve">Administration and marketing</t>
  </si>
  <si>
    <t xml:space="preserve">Bookkeeping, legal-text subscription, business account, liability and cyber insurance, monitoring, advertising budget.</t>
  </si>
  <si>
    <t xml:space="preserve">4. PRODUCTS AND PRICING</t>
  </si>
  <si>
    <t xml:space="preserve">Valheim 10-slot — price incl. VAT</t>
  </si>
  <si>
    <t xml:space="preserve">Consumer-facing gross price.</t>
  </si>
  <si>
    <t xml:space="preserve">Minecraft 6 GB — price incl. VAT</t>
  </si>
  <si>
    <t xml:space="preserve">VAT rate</t>
  </si>
  <si>
    <t xml:space="preserve">%</t>
  </si>
  <si>
    <t xml:space="preserve">German standard rate.</t>
  </si>
  <si>
    <t xml:space="preserve">5. RESOURCE MODEL</t>
  </si>
  <si>
    <t xml:space="preserve">Valheim RAM — active</t>
  </si>
  <si>
    <t xml:space="preserve">Under load with players online and physics running.</t>
  </si>
  <si>
    <t xml:space="preserve">Valheim RAM — idle</t>
  </si>
  <si>
    <t xml:space="preserve">Standby, no players. An operator reports a measured median of 1.4–1.6 GB with outliers to 2.4 GB and plans with 2.0 GB per instance; world size barely matters. 1.5 GB is the model value.</t>
  </si>
  <si>
    <t xml:space="preserve">Minecraft RAM — active</t>
  </si>
  <si>
    <t xml:space="preserve">Sold heap size.</t>
  </si>
  <si>
    <t xml:space="preserve">Minecraft RAM — idle</t>
  </si>
  <si>
    <t xml:space="preserve">Only achievable if -Xms is left unpinned so the GC returns memory to the OS. Pinning Xms=Xmx makes RAM overselling impossible.</t>
  </si>
  <si>
    <t xml:space="preserve">Host OS + ZFS ARC reserve per node</t>
  </si>
  <si>
    <t xml:space="preserve">Deducted from physical RAM before any customer server is placed.</t>
  </si>
  <si>
    <t xml:space="preserve">Share of RUNNING servers that have players on them. This is not the same as the share of BOOKED servers that are switched on at all — that second figure is what drives CPU on persistent-world games. The model assumes every booked server is running, which is the conservative combination.</t>
  </si>
  <si>
    <t xml:space="preserve">vCPU threads allocated per server</t>
  </si>
  <si>
    <t xml:space="preserve">Hard cap via Docker --cpus.</t>
  </si>
  <si>
    <t xml:space="preserve">6. SALES VOLUME</t>
  </si>
  <si>
    <t xml:space="preserve">Minecraft servers sold — Node 1</t>
  </si>
  <si>
    <t xml:space="preserve">Raise this and peak RAM utilisation on the Capacity tab rises with it.</t>
  </si>
  <si>
    <t xml:space="preserve">Valheim servers sold — per node (Nodes 2 &amp; 3)</t>
  </si>
  <si>
    <t xml:space="preserve">Same applies.</t>
  </si>
  <si>
    <t xml:space="preserve">7. PAYMENTS, SUPPORT AND RAMP-UP</t>
  </si>
  <si>
    <t xml:space="preserve">Payment fee — fixed per transaction</t>
  </si>
  <si>
    <t xml:space="preserve">PayPal/Stripe SME level.</t>
  </si>
  <si>
    <t xml:space="preserve">Payment fee — share of gross</t>
  </si>
  <si>
    <t xml:space="preserve">Monthly ticket rate</t>
  </si>
  <si>
    <t xml:space="preserve">Share of customers opening at least one ticket per month. Own estimate from operator reports. A mature provider with a grown panel and help centre reports a low single-digit percentage, but that is the floor of a long-automated operation, not a figure a newcomer can reach.</t>
  </si>
  <si>
    <t xml:space="preserve">Minutes per ticket</t>
  </si>
  <si>
    <t xml:space="preserve">min</t>
  </si>
  <si>
    <t xml:space="preserve">Average across trivial and hard cases.</t>
  </si>
  <si>
    <t xml:space="preserve">Other monthly workload</t>
  </si>
  <si>
    <t xml:space="preserve">Patching, maintenance, bookkeeping, invoicing, monitoring alerts, marketing.</t>
  </si>
  <si>
    <t xml:space="preserve">Months to reach full occupancy</t>
  </si>
  <si>
    <t xml:space="preserve">months</t>
  </si>
  <si>
    <t xml:space="preserve">Linear ramp assumption used on the Ramp tab.</t>
  </si>
  <si>
    <t xml:space="preserve">8. SECOND CLUSTER (marginal costs only)</t>
  </si>
  <si>
    <t xml:space="preserve">Filtered transit uplift</t>
  </si>
  <si>
    <t xml:space="preserve">Incremental only — the base commitment is already paid.</t>
  </si>
  <si>
    <t xml:space="preserve">Marketing uplift</t>
  </si>
  <si>
    <t xml:space="preserve">Incremental only.</t>
  </si>
  <si>
    <t xml:space="preserve">9. CPU CONSUMPTION PER INSTANCE</t>
  </si>
  <si>
    <t xml:space="preserve">Valheim CPU — with players</t>
  </si>
  <si>
    <t xml:space="preserve">Measured: an operator reports roughly 1.0 on server hardware. The Valheim mainloop is effectively single-threaded, so one instance cannot use much more than one thread however many vCPU are allocated to it.</t>
  </si>
  <si>
    <t xml:space="preserve">Valheim CPU — idle</t>
  </si>
  <si>
    <t xml:space="preserve">Measured: roughly 0.8 on server hardware at around 2.4 GHz. Public reports from desktop CPUs at 4.5 GHz or more show 0.35-0.5, which scales to about the same figure at server clock speeds. An empty Valheim server costs almost as much CPU as a busy one — not because it simulates the world (clients own and simulate zones) but because the server process itself keeps running. This is the least certain figure in the model.</t>
  </si>
  <si>
    <t xml:space="preserve">Minecraft CPU — with players</t>
  </si>
  <si>
    <t xml:space="preserve">Allocated cap, kept as the model value. Minecraft parallelises chunk generation and I/O, so an active instance can genuinely use more than one thread.</t>
  </si>
  <si>
    <t xml:space="preserve">Minecraft CPU — idle</t>
  </si>
  <si>
    <t xml:space="preserve">Close enough to zero: with no players almost nothing stays loaded apart from spawn chunks and force-loaded chunks. Heavy farms inside the spawn chunks are the exception.</t>
  </si>
  <si>
    <t xml:space="preserve">Physical cores — Node 1</t>
  </si>
  <si>
    <t xml:space="preserve">cores</t>
  </si>
  <si>
    <t xml:space="preserve">EPYC 9474F: 48 cores, 96 SMT threads.</t>
  </si>
  <si>
    <t xml:space="preserve">Physical cores — Nodes 2 &amp; 3</t>
  </si>
  <si>
    <t xml:space="preserve">EPYC 9654: 96 cores, 192 SMT threads. Two single-threaded tick loops sharing one physical core contend for the same execution units, which shows up as tick time. Physical cores are therefore the honest denominator, not SMT threads.</t>
  </si>
  <si>
    <t xml:space="preserve">One-off Hardware Investment (CAPEX)</t>
  </si>
  <si>
    <t xml:space="preserve">All figures net of VAT. A VAT-registered business reclaims input tax, so net is the relevant figure.</t>
  </si>
  <si>
    <t xml:space="preserve">Item</t>
  </si>
  <si>
    <t xml:space="preserve">Qty</t>
  </si>
  <si>
    <t xml:space="preserve">Unit price</t>
  </si>
  <si>
    <t xml:space="preserve">Total</t>
  </si>
  <si>
    <t xml:space="preserve">CPU — AMD EPYC 9474F (Node 1)</t>
  </si>
  <si>
    <t xml:space="preserve">Frequency-optimised, 48C/96T</t>
  </si>
  <si>
    <t xml:space="preserve">CPU — AMD EPYC 9654 (Nodes 2 &amp; 3)</t>
  </si>
  <si>
    <t xml:space="preserve">High core density, 96C/192T</t>
  </si>
  <si>
    <t xml:space="preserve">12 per node, all channels populated</t>
  </si>
  <si>
    <t xml:space="preserve">SSD — U.2/U.3 PCIe Gen5 NVMe 3.84 TB</t>
  </si>
  <si>
    <t xml:space="preserve">Mirrored ZFS pool per node</t>
  </si>
  <si>
    <t xml:space="preserve">Chassis, board, backplane, PSUs</t>
  </si>
  <si>
    <t xml:space="preserve">Bonded via LACP</t>
  </si>
  <si>
    <t xml:space="preserve">One-off items</t>
  </si>
  <si>
    <t xml:space="preserve">TOTAL INVESTMENT</t>
  </si>
  <si>
    <t xml:space="preserve">Total RAM across cluster (GB)</t>
  </si>
  <si>
    <t xml:space="preserve">Total CPU threads across cluster</t>
  </si>
  <si>
    <t xml:space="preserve">Source: cheapest listed offer on Geizhals.de, converted to net, 25 October 2026. Memory and SSD prices have risen sharply since late 2025; verify before use.</t>
  </si>
  <si>
    <t xml:space="preserve">Monthly Operating Costs (OPEX)</t>
  </si>
  <si>
    <t xml:space="preserve">Net of VAT. Excludes owner's salary, staff, depreciation, financing and tax.</t>
  </si>
  <si>
    <t xml:space="preserve">Monthly</t>
  </si>
  <si>
    <t xml:space="preserve">Colocation housing (3U, incl. uplink and IPs)</t>
  </si>
  <si>
    <t xml:space="preserve">Rack-space price. The included power allowance is token only, typically 50 VA or 85 W per rack unit.</t>
  </si>
  <si>
    <t xml:space="preserve">Electricity (measured consumption)</t>
  </si>
  <si>
    <t xml:space="preserve">Not included in the housing price at the volume a game server node needs. Billed on measured consumption.</t>
  </si>
  <si>
    <t xml:space="preserve">Game-grade L3-L7 filtering (e.g. aurologic, formerly combahton, with its flowShield appliance). Cannot be self-built.</t>
  </si>
  <si>
    <t xml:space="preserve">Versioned world backups with one-click rollback.</t>
  </si>
  <si>
    <t xml:space="preserve">WHMCS and panel extensions. Pelican itself is free under AGPLv3.</t>
  </si>
  <si>
    <t xml:space="preserve">Bookkeeping, legal-text subscription, business account, liability and cyber insurance, monitoring, advertising.</t>
  </si>
  <si>
    <t xml:space="preserve">TOTAL MONTHLY COSTS</t>
  </si>
  <si>
    <t xml:space="preserve">Electricity detail — kWh per month</t>
  </si>
  <si>
    <t xml:space="preserve">Cluster draw x hours per month.</t>
  </si>
  <si>
    <t xml:space="preserve">Annual operating cost</t>
  </si>
  <si>
    <t xml:space="preserve">Capacity and Overselling Model</t>
  </si>
  <si>
    <t xml:space="preserve">Overselling is the operating basis of consumer hosting, not a trick. The question is the factor and the peak headroom left.</t>
  </si>
  <si>
    <t xml:space="preserve">Metric</t>
  </si>
  <si>
    <t xml:space="preserve">Node 1 (Minecraft)</t>
  </si>
  <si>
    <t xml:space="preserve">Node 2 (Valheim)</t>
  </si>
  <si>
    <t xml:space="preserve">Node 3 (Valheim)</t>
  </si>
  <si>
    <t xml:space="preserve">Physical RAM (GB)</t>
  </si>
  <si>
    <t xml:space="preserve">12 channels populated identically.</t>
  </si>
  <si>
    <t xml:space="preserve">Host OS + ZFS ARC reserve (GB)</t>
  </si>
  <si>
    <t xml:space="preserve">Deducted before any customer server is placed.</t>
  </si>
  <si>
    <t xml:space="preserve">Usable RAM (GB)</t>
  </si>
  <si>
    <t xml:space="preserve">CPU threads</t>
  </si>
  <si>
    <t xml:space="preserve">RAM per server, active (GB)</t>
  </si>
  <si>
    <t xml:space="preserve">Under load.</t>
  </si>
  <si>
    <t xml:space="preserve">RAM per server, idle (GB)</t>
  </si>
  <si>
    <t xml:space="preserve">Standby. For Minecraft this only holds with -Xms left unpinned.</t>
  </si>
  <si>
    <t xml:space="preserve">Capacity at 1:1 allocation (servers)</t>
  </si>
  <si>
    <t xml:space="preserve">What you could sell with no overselling at all.</t>
  </si>
  <si>
    <t xml:space="preserve">Servers actually sold</t>
  </si>
  <si>
    <t xml:space="preserve">RAM overselling factor</t>
  </si>
  <si>
    <t xml:space="preserve">Around 1.5x is the range operators describe as safe.</t>
  </si>
  <si>
    <t xml:space="preserve">CPU capacity at 1:1 (servers)</t>
  </si>
  <si>
    <t xml:space="preserve">CPU overselling factor</t>
  </si>
  <si>
    <t xml:space="preserve">Higher than the RAM factor, but threads are shared dynamically by the scheduler.</t>
  </si>
  <si>
    <t xml:space="preserve">Servers active at peak</t>
  </si>
  <si>
    <t xml:space="preserve">Evening peak assumption.</t>
  </si>
  <si>
    <t xml:space="preserve">Servers idle at peak</t>
  </si>
  <si>
    <t xml:space="preserve">Peak RAM demand (GB)</t>
  </si>
  <si>
    <t xml:space="preserve">The number that decides whether the node holds.</t>
  </si>
  <si>
    <t xml:space="preserve">Peak RAM utilisation</t>
  </si>
  <si>
    <t xml:space="preserve">Above roughly 90% there is no room left for error.</t>
  </si>
  <si>
    <t xml:space="preserve">RAM headroom at peak (GB)</t>
  </si>
  <si>
    <t xml:space="preserve">Threads ALLOCATED at peak (cap)</t>
  </si>
  <si>
    <t xml:space="preserve">Contractual cap via Docker --cpus, not actual consumption. See rows 28-32.</t>
  </si>
  <si>
    <t xml:space="preserve">Allocation against SMT threads</t>
  </si>
  <si>
    <t xml:space="preserve">Allocation against SMT threads. The honest figure is row 30.</t>
  </si>
  <si>
    <t xml:space="preserve">TOTAL SERVERS ACROSS CLUSTER</t>
  </si>
  <si>
    <t xml:space="preserve">CPU CHECK AGAINST PHYSICAL CORES</t>
  </si>
  <si>
    <t xml:space="preserve">Physical cores</t>
  </si>
  <si>
    <t xml:space="preserve">Not SMT threads.</t>
  </si>
  <si>
    <t xml:space="preserve">Threads CONSUMED at peak (measured)</t>
  </si>
  <si>
    <t xml:space="preserve">Active instances plus idle instances, each at its own consumption value.</t>
  </si>
  <si>
    <t xml:space="preserve">Utilisation of physical cores</t>
  </si>
  <si>
    <t xml:space="preserve">Above 100% the node can no longer give every instance its own core.</t>
  </si>
  <si>
    <t xml:space="preserve">Utilisation of SMT threads</t>
  </si>
  <si>
    <t xml:space="preserve">The flattering denominator: SMT adds roughly 15–30% throughput, not 100%.</t>
  </si>
  <si>
    <t xml:space="preserve">Max servers per node on physical cores</t>
  </si>
  <si>
    <t xml:space="preserve">Physical cores divided by the average consumption per sold server at the current concurrency mix. Upper bound with no reserve at all; a sensible target leaves 20-25% below it.</t>
  </si>
  <si>
    <t xml:space="preserve">Assumption note: peak concurrency of 30% is an own estimate drawn from operator reports in hosting forums, not a measured statistic. Raising it to 40% is the fastest way to test how robust the model is.</t>
  </si>
  <si>
    <t xml:space="preserve">CPU note: rows 22-23 show what is contractually allocated, rows 29-31 what is actually consumed. For Valheim the two diverge sharply, because an idle instance still costs about 0.8 threads. At 130 sold servers per node the Valheim nodes exceed their physical cores. That figure is kept deliberately: the measurement comes from other hardware at an unknown clock speed, and it is flagged in the article as the weakest assumption in the model. Change C64 and C65 on the Inputs tab to test it.</t>
  </si>
  <si>
    <t xml:space="preserve">Revenue, Result, Break-Even and Workload</t>
  </si>
  <si>
    <t xml:space="preserve">Result is stated before tax and before any salary for the operator.</t>
  </si>
  <si>
    <t xml:space="preserve">PRICING (net)</t>
  </si>
  <si>
    <t xml:space="preserve">Valheim 10-slot — net price</t>
  </si>
  <si>
    <t xml:space="preserve">Gross price divided by 1 + VAT rate.</t>
  </si>
  <si>
    <t xml:space="preserve">Minecraft 6 GB — net price</t>
  </si>
  <si>
    <t xml:space="preserve">VOLUME</t>
  </si>
  <si>
    <t xml:space="preserve">Minecraft servers</t>
  </si>
  <si>
    <t xml:space="preserve">Valheim servers</t>
  </si>
  <si>
    <t xml:space="preserve">Total servers at full occupancy</t>
  </si>
  <si>
    <t xml:space="preserve">MONTHLY RESULT AT FULL OCCUPANCY</t>
  </si>
  <si>
    <t xml:space="preserve">Gross revenue (incl. VAT)</t>
  </si>
  <si>
    <t xml:space="preserve">What customers pay in total.</t>
  </si>
  <si>
    <t xml:space="preserve">Net revenue</t>
  </si>
  <si>
    <t xml:space="preserve">VAT removed. This is the figure the business works with.</t>
  </si>
  <si>
    <t xml:space="preserve">Payment processing fees</t>
  </si>
  <si>
    <t xml:space="preserve">Fixed fee per transaction plus a share of gross.</t>
  </si>
  <si>
    <t xml:space="preserve">Operating costs</t>
  </si>
  <si>
    <t xml:space="preserve">From the OPEX tab.</t>
  </si>
  <si>
    <t xml:space="preserve">RESULT before tax and own salary</t>
  </si>
  <si>
    <t xml:space="preserve">Not profit in any meaningful personal sense until you deduct your own time.</t>
  </si>
  <si>
    <t xml:space="preserve">BREAK-EVEN</t>
  </si>
  <si>
    <t xml:space="preserve">Blended net price per server</t>
  </si>
  <si>
    <t xml:space="preserve">Payment fee per server</t>
  </si>
  <si>
    <t xml:space="preserve">Contribution margin per server</t>
  </si>
  <si>
    <t xml:space="preserve">What each additional customer contributes to fixed costs.</t>
  </si>
  <si>
    <t xml:space="preserve">Break-even servers</t>
  </si>
  <si>
    <t xml:space="preserve">Below this you lose money every month.</t>
  </si>
  <si>
    <t xml:space="preserve">Break-even occupancy</t>
  </si>
  <si>
    <t xml:space="preserve">Share of full cluster capacity required just to cover costs.</t>
  </si>
  <si>
    <t xml:space="preserve">Payback at full occupancy (months)</t>
  </si>
  <si>
    <t xml:space="preserve">Theoretical only. Nobody is fully occupied on day one — see the Ramp tab.</t>
  </si>
  <si>
    <t xml:space="preserve">WORKLOAD AND EFFECTIVE HOURLY RATE</t>
  </si>
  <si>
    <t xml:space="preserve">Support tickets per month</t>
  </si>
  <si>
    <t xml:space="preserve">Operator rule of thumb, unverified.</t>
  </si>
  <si>
    <t xml:space="preserve">Support hours per month</t>
  </si>
  <si>
    <t xml:space="preserve">Other hours per month</t>
  </si>
  <si>
    <t xml:space="preserve">Patching, bookkeeping, monitoring, marketing.</t>
  </si>
  <si>
    <t xml:space="preserve">Total hours per month</t>
  </si>
  <si>
    <t xml:space="preserve">Effective hourly rate before tax</t>
  </si>
  <si>
    <t xml:space="preserve">Self-employed: no paid leave, no sick pay, no pension contribution. After tax and social contributions, roughly half.</t>
  </si>
  <si>
    <t xml:space="preserve">SECOND CLUSTER — MARGINAL ECONOMICS</t>
  </si>
  <si>
    <t xml:space="preserve">Marginal net revenue</t>
  </si>
  <si>
    <t xml:space="preserve">A second identical cluster doubles capacity.</t>
  </si>
  <si>
    <t xml:space="preserve">Marginal operating costs</t>
  </si>
  <si>
    <t xml:space="preserve">Housing, electricity, a transit uplift, backup and a marketing uplift. Bookkeeping, insurance, legal texts and monitoring do not scale with node count.</t>
  </si>
  <si>
    <t xml:space="preserve">Marginal payment fees</t>
  </si>
  <si>
    <t xml:space="preserve">Marginal result of cluster 2</t>
  </si>
  <si>
    <t xml:space="preserve">Substantially better than cluster 1, because the fixed administrative base is already paid.</t>
  </si>
  <si>
    <t xml:space="preserve">Combined result, two clusters</t>
  </si>
  <si>
    <t xml:space="preserve">Support tickets per month, two clusters</t>
  </si>
  <si>
    <t xml:space="preserve">This is the constraint. Scaling before the support is automated buys a full-time job, not profit.</t>
  </si>
  <si>
    <t xml:space="preserve">72-Month Ramp-Up and Capital Recovery</t>
  </si>
  <si>
    <t xml:space="preserve">Linear customer growth to full occupancy. This is where the model stops being flattering.</t>
  </si>
  <si>
    <t xml:space="preserve">Month</t>
  </si>
  <si>
    <t xml:space="preserve">Occupancy</t>
  </si>
  <si>
    <t xml:space="preserve">Servers</t>
  </si>
  <si>
    <t xml:space="preserve">Monthly result</t>
  </si>
  <si>
    <t xml:space="preserve">Cumulative result</t>
  </si>
  <si>
    <t xml:space="preserve">Cumulative less CAPEX</t>
  </si>
  <si>
    <t xml:space="preserve">First profitable month</t>
  </si>
  <si>
    <t xml:space="preserve">First month the operation covers its own running costs.</t>
  </si>
  <si>
    <t xml:space="preserve">Capital fully recovered in month</t>
  </si>
  <si>
    <t xml:space="preserve">First month cumulative result exceeds the initial hardware investment.</t>
  </si>
  <si>
    <t xml:space="preserve">Cumulative result after 72 months</t>
  </si>
  <si>
    <t xml:space="preserve">Net of the initial investment, before tax and before any salary.</t>
  </si>
</sst>
</file>

<file path=xl/styles.xml><?xml version="1.0" encoding="utf-8"?>
<styleSheet xmlns="http://schemas.openxmlformats.org/spreadsheetml/2006/main">
  <numFmts count="9">
    <numFmt numFmtId="164" formatCode="General"/>
    <numFmt numFmtId="165" formatCode="#,##0&quot; €&quot;"/>
    <numFmt numFmtId="166" formatCode="#,##0"/>
    <numFmt numFmtId="167" formatCode="0.00"/>
    <numFmt numFmtId="168" formatCode="#,##0.00&quot; €&quot;"/>
    <numFmt numFmtId="169" formatCode="0.0%"/>
    <numFmt numFmtId="170" formatCode="#,##0.0"/>
    <numFmt numFmtId="171" formatCode="0.00%"/>
    <numFmt numFmtId="172" formatCode="0.00\x"/>
  </numFmts>
  <fonts count="13">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i val="true"/>
      <sz val="10"/>
      <color rgb="FF666666"/>
      <name val="Arial"/>
      <family val="0"/>
      <charset val="1"/>
    </font>
    <font>
      <b val="true"/>
      <sz val="10"/>
      <name val="Arial"/>
      <family val="0"/>
      <charset val="1"/>
    </font>
    <font>
      <sz val="10"/>
      <name val="Arial"/>
      <family val="0"/>
      <charset val="1"/>
    </font>
    <font>
      <sz val="10"/>
      <color rgb="FF0000FF"/>
      <name val="Arial"/>
      <family val="0"/>
      <charset val="1"/>
    </font>
    <font>
      <sz val="10"/>
      <color rgb="FF008000"/>
      <name val="Arial"/>
      <family val="0"/>
      <charset val="1"/>
    </font>
    <font>
      <sz val="9"/>
      <color rgb="FF666666"/>
      <name val="Arial"/>
      <family val="0"/>
      <charset val="1"/>
    </font>
    <font>
      <sz val="8"/>
      <color rgb="FF999999"/>
      <name val="Arial"/>
      <family val="0"/>
      <charset val="1"/>
    </font>
    <font>
      <b val="true"/>
      <sz val="10"/>
      <color rgb="FFFFFFFF"/>
      <name val="Arial"/>
      <family val="0"/>
      <charset val="1"/>
    </font>
  </fonts>
  <fills count="6">
    <fill>
      <patternFill patternType="none"/>
    </fill>
    <fill>
      <patternFill patternType="gray125"/>
    </fill>
    <fill>
      <patternFill patternType="solid">
        <fgColor rgb="FFFFFF00"/>
        <bgColor rgb="FFFFFF00"/>
      </patternFill>
    </fill>
    <fill>
      <patternFill patternType="solid">
        <fgColor rgb="FFEFEFEF"/>
        <bgColor rgb="FFE6F4E6"/>
      </patternFill>
    </fill>
    <fill>
      <patternFill patternType="solid">
        <fgColor rgb="FF4A4A4A"/>
        <bgColor rgb="FF333333"/>
      </patternFill>
    </fill>
    <fill>
      <patternFill patternType="solid">
        <fgColor rgb="FFE6F4E6"/>
        <bgColor rgb="FFEFEFEF"/>
      </patternFill>
    </fill>
  </fills>
  <borders count="2">
    <border diagonalUp="false" diagonalDown="false">
      <left/>
      <right/>
      <top/>
      <bottom/>
      <diagonal/>
    </border>
    <border diagonalUp="false" diagonalDown="false">
      <left/>
      <right/>
      <top style="thin">
        <color rgb="FF333333"/>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center" textRotation="0" wrapText="false" indent="0" shrinkToFit="false"/>
      <protection locked="true" hidden="false"/>
    </xf>
    <xf numFmtId="164" fontId="6" fillId="3" borderId="0" xfId="0" applyFont="true" applyBorder="false" applyAlignment="true" applyProtection="false">
      <alignment horizontal="general" vertical="bottom" textRotation="0" wrapText="false" indent="0" shrinkToFit="false"/>
      <protection locked="true" hidden="false"/>
    </xf>
    <xf numFmtId="164" fontId="12" fillId="4" borderId="0" xfId="0" applyFont="true" applyBorder="false" applyAlignment="true" applyProtection="false">
      <alignment horizontal="general" vertical="bottom" textRotation="0" wrapText="false" indent="0" shrinkToFit="false"/>
      <protection locked="true" hidden="false"/>
    </xf>
    <xf numFmtId="164" fontId="0" fillId="4" borderId="0" xfId="0" applyFont="false" applyBorder="false" applyAlignment="true" applyProtection="false">
      <alignment horizontal="general" vertical="bottom" textRotation="0" wrapText="false" indent="0" shrinkToFit="false"/>
      <protection locked="true" hidden="false"/>
    </xf>
    <xf numFmtId="165" fontId="8" fillId="2"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6" fontId="8" fillId="2" borderId="0" xfId="0" applyFont="true" applyBorder="false" applyAlignment="true" applyProtection="false">
      <alignment horizontal="general" vertical="bottom" textRotation="0" wrapText="false" indent="0" shrinkToFit="false"/>
      <protection locked="true" hidden="false"/>
    </xf>
    <xf numFmtId="167" fontId="8" fillId="2" borderId="0" xfId="0" applyFont="true" applyBorder="false" applyAlignment="true" applyProtection="false">
      <alignment horizontal="general" vertical="bottom" textRotation="0" wrapText="false" indent="0" shrinkToFit="false"/>
      <protection locked="true" hidden="false"/>
    </xf>
    <xf numFmtId="168" fontId="8" fillId="2" borderId="0" xfId="0" applyFont="true" applyBorder="false" applyAlignment="true" applyProtection="false">
      <alignment horizontal="general" vertical="bottom" textRotation="0" wrapText="false" indent="0" shrinkToFit="false"/>
      <protection locked="true" hidden="false"/>
    </xf>
    <xf numFmtId="169" fontId="8" fillId="2" borderId="0" xfId="0" applyFont="true" applyBorder="false" applyAlignment="true" applyProtection="false">
      <alignment horizontal="general" vertical="bottom" textRotation="0" wrapText="false" indent="0" shrinkToFit="false"/>
      <protection locked="true" hidden="false"/>
    </xf>
    <xf numFmtId="170" fontId="8" fillId="2" borderId="0" xfId="0" applyFont="true" applyBorder="false" applyAlignment="true" applyProtection="false">
      <alignment horizontal="general" vertical="bottom" textRotation="0" wrapText="false" indent="0" shrinkToFit="false"/>
      <protection locked="true" hidden="false"/>
    </xf>
    <xf numFmtId="171" fontId="8" fillId="2" borderId="0" xfId="0" applyFont="true" applyBorder="false" applyAlignment="true" applyProtection="false">
      <alignment horizontal="general" vertical="bottom" textRotation="0" wrapText="false" indent="0" shrinkToFit="false"/>
      <protection locked="true" hidden="false"/>
    </xf>
    <xf numFmtId="166" fontId="8" fillId="0" borderId="0" xfId="0" applyFont="true" applyBorder="false" applyAlignment="true" applyProtection="false">
      <alignment horizontal="general" vertical="bottom" textRotation="0" wrapText="false" indent="0" shrinkToFit="false"/>
      <protection locked="true" hidden="false"/>
    </xf>
    <xf numFmtId="165" fontId="9" fillId="0" borderId="0" xfId="0" applyFont="true" applyBorder="false" applyAlignment="true" applyProtection="false">
      <alignment horizontal="general" vertical="bottom" textRotation="0" wrapText="false" indent="0" shrinkToFit="false"/>
      <protection locked="true" hidden="false"/>
    </xf>
    <xf numFmtId="165" fontId="7" fillId="0" borderId="0" xfId="0" applyFont="true" applyBorder="false" applyAlignment="true" applyProtection="false">
      <alignment horizontal="general" vertical="bottom" textRotation="0" wrapText="false" indent="0" shrinkToFit="false"/>
      <protection locked="true" hidden="false"/>
    </xf>
    <xf numFmtId="166" fontId="7" fillId="0" borderId="0" xfId="0" applyFont="true" applyBorder="false" applyAlignment="tru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general" vertical="bottom" textRotation="0" wrapText="false" indent="0" shrinkToFit="false"/>
      <protection locked="true" hidden="false"/>
    </xf>
    <xf numFmtId="165" fontId="6" fillId="5" borderId="1" xfId="0" applyFont="true" applyBorder="true" applyAlignment="true" applyProtection="false">
      <alignment horizontal="general" vertical="bottom" textRotation="0" wrapText="false" indent="0" shrinkToFit="false"/>
      <protection locked="true" hidden="false"/>
    </xf>
    <xf numFmtId="166" fontId="9" fillId="0" borderId="0" xfId="0" applyFont="true" applyBorder="false" applyAlignment="true" applyProtection="false">
      <alignment horizontal="general" vertical="bottom" textRotation="0" wrapText="false" indent="0" shrinkToFit="false"/>
      <protection locked="true" hidden="false"/>
    </xf>
    <xf numFmtId="168" fontId="9" fillId="0" borderId="0" xfId="0" applyFont="true" applyBorder="false" applyAlignment="true" applyProtection="false">
      <alignment horizontal="general" vertical="bottom" textRotation="0" wrapText="false" indent="0" shrinkToFit="false"/>
      <protection locked="true" hidden="false"/>
    </xf>
    <xf numFmtId="168" fontId="6" fillId="5" borderId="1" xfId="0" applyFont="true" applyBorder="true" applyAlignment="true" applyProtection="false">
      <alignment horizontal="general" vertical="bottom" textRotation="0" wrapText="false" indent="0" shrinkToFit="false"/>
      <protection locked="true" hidden="false"/>
    </xf>
    <xf numFmtId="164" fontId="6" fillId="3" borderId="0" xfId="0" applyFont="true" applyBorder="false" applyAlignment="true" applyProtection="false">
      <alignment horizontal="general" vertical="center" textRotation="0" wrapText="true" indent="0" shrinkToFit="false"/>
      <protection locked="true" hidden="false"/>
    </xf>
    <xf numFmtId="170" fontId="9" fillId="0" borderId="0" xfId="0" applyFont="true" applyBorder="false" applyAlignment="true" applyProtection="false">
      <alignment horizontal="general" vertical="bottom" textRotation="0" wrapText="false" indent="0" shrinkToFit="false"/>
      <protection locked="true" hidden="false"/>
    </xf>
    <xf numFmtId="170" fontId="7" fillId="0" borderId="0" xfId="0" applyFont="true" applyBorder="false" applyAlignment="true" applyProtection="false">
      <alignment horizontal="general" vertical="bottom" textRotation="0" wrapText="false" indent="0" shrinkToFit="false"/>
      <protection locked="true" hidden="false"/>
    </xf>
    <xf numFmtId="172" fontId="7" fillId="0" borderId="0" xfId="0" applyFont="true" applyBorder="false" applyAlignment="true" applyProtection="false">
      <alignment horizontal="general" vertical="bottom" textRotation="0" wrapText="false" indent="0" shrinkToFit="false"/>
      <protection locked="true" hidden="false"/>
    </xf>
    <xf numFmtId="166" fontId="6" fillId="0" borderId="0" xfId="0" applyFont="true" applyBorder="false" applyAlignment="true" applyProtection="false">
      <alignment horizontal="general" vertical="bottom" textRotation="0" wrapText="false" indent="0" shrinkToFit="false"/>
      <protection locked="true" hidden="false"/>
    </xf>
    <xf numFmtId="169" fontId="7" fillId="0" borderId="0" xfId="0" applyFont="true" applyBorder="false" applyAlignment="true" applyProtection="false">
      <alignment horizontal="general" vertical="bottom" textRotation="0" wrapText="false" indent="0" shrinkToFit="false"/>
      <protection locked="true" hidden="false"/>
    </xf>
    <xf numFmtId="166" fontId="6" fillId="5" borderId="1" xfId="0" applyFont="true" applyBorder="true" applyAlignment="tru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8" fontId="7" fillId="0" borderId="0" xfId="0" applyFont="true" applyBorder="false" applyAlignment="true" applyProtection="false">
      <alignment horizontal="general" vertical="bottom" textRotation="0" wrapText="false" indent="0" shrinkToFit="false"/>
      <protection locked="true" hidden="false"/>
    </xf>
    <xf numFmtId="168" fontId="6" fillId="0" borderId="0" xfId="0" applyFont="true" applyBorder="false" applyAlignment="true" applyProtection="false">
      <alignment horizontal="general" vertical="bottom" textRotation="0" wrapText="false" indent="0" shrinkToFit="false"/>
      <protection locked="true" hidden="false"/>
    </xf>
    <xf numFmtId="168" fontId="6" fillId="5" borderId="0" xfId="0" applyFont="true" applyBorder="false" applyAlignment="true" applyProtection="false">
      <alignment horizontal="general" vertical="bottom" textRotation="0" wrapText="false" indent="0" shrinkToFit="false"/>
      <protection locked="true" hidden="false"/>
    </xf>
    <xf numFmtId="169" fontId="6" fillId="0" borderId="0" xfId="0" applyFont="true" applyBorder="false" applyAlignment="true" applyProtection="false">
      <alignment horizontal="general" vertical="bottom" textRotation="0" wrapText="false" indent="0" shrinkToFit="false"/>
      <protection locked="true" hidden="false"/>
    </xf>
    <xf numFmtId="170" fontId="6" fillId="0" borderId="0" xfId="0" applyFont="true" applyBorder="false" applyAlignment="true" applyProtection="false">
      <alignment horizontal="general" vertical="bottom" textRotation="0" wrapText="false" indent="0" shrinkToFit="false"/>
      <protection locked="true" hidden="false"/>
    </xf>
    <xf numFmtId="164" fontId="6" fillId="3" borderId="0" xfId="0" applyFont="true" applyBorder="false" applyAlignment="true" applyProtection="false">
      <alignment horizontal="center" vertical="center" textRotation="0" wrapText="true" indent="0" shrinkToFit="false"/>
      <protection locked="true" hidden="false"/>
    </xf>
    <xf numFmtId="166" fontId="6" fillId="5" borderId="0" xfId="0" applyFont="true" applyBorder="false" applyAlignment="true" applyProtection="false">
      <alignment horizontal="general" vertical="bottom" textRotation="0" wrapText="false" indent="0" shrinkToFit="false"/>
      <protection locked="true" hidden="false"/>
    </xf>
    <xf numFmtId="165" fontId="6" fillId="0"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6F4E6"/>
      <rgbColor rgb="FFEFEFE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66"/>
      <rgbColor rgb="FF999999"/>
      <rgbColor rgb="FF003366"/>
      <rgbColor rgb="FF339966"/>
      <rgbColor rgb="FF003300"/>
      <rgbColor rgb="FF4A4A4A"/>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4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34"/>
    <col collapsed="false" customWidth="true" hidden="false" outlineLevel="0" max="3" min="3" style="1" width="88"/>
  </cols>
  <sheetData>
    <row r="2" customFormat="false" ht="17.25" hidden="false" customHeight="true" outlineLevel="0" collapsed="false">
      <c r="B2" s="2" t="s">
        <v>0</v>
      </c>
    </row>
    <row r="3" customFormat="false" ht="15" hidden="false" customHeight="true" outlineLevel="0" collapsed="false">
      <c r="B3" s="3" t="s">
        <v>1</v>
      </c>
    </row>
    <row r="5" customFormat="false" ht="15" hidden="false" customHeight="true" outlineLevel="0" collapsed="false">
      <c r="B5" s="4" t="s">
        <v>2</v>
      </c>
    </row>
    <row r="6" customFormat="false" ht="34.5" hidden="false" customHeight="true" outlineLevel="0" collapsed="false">
      <c r="C6" s="5" t="s">
        <v>3</v>
      </c>
    </row>
    <row r="9" customFormat="false" ht="15" hidden="false" customHeight="true" outlineLevel="0" collapsed="false">
      <c r="B9" s="4" t="s">
        <v>4</v>
      </c>
    </row>
    <row r="10" customFormat="false" ht="34.5" hidden="false" customHeight="true" outlineLevel="0" collapsed="false">
      <c r="C10" s="5" t="s">
        <v>5</v>
      </c>
    </row>
    <row r="14" customFormat="false" ht="15" hidden="false" customHeight="true" outlineLevel="0" collapsed="false">
      <c r="B14" s="4" t="s">
        <v>6</v>
      </c>
    </row>
    <row r="15" customFormat="false" ht="45.75" hidden="false" customHeight="true" outlineLevel="0" collapsed="false">
      <c r="C15" s="5" t="s">
        <v>7</v>
      </c>
    </row>
    <row r="18" customFormat="false" ht="15" hidden="false" customHeight="true" outlineLevel="0" collapsed="false">
      <c r="B18" s="4" t="s">
        <v>8</v>
      </c>
    </row>
    <row r="19" customFormat="false" ht="15" hidden="false" customHeight="true" outlineLevel="0" collapsed="false">
      <c r="B19" s="6" t="s">
        <v>9</v>
      </c>
      <c r="C19" s="5" t="s">
        <v>10</v>
      </c>
    </row>
    <row r="20" customFormat="false" ht="15" hidden="false" customHeight="true" outlineLevel="0" collapsed="false">
      <c r="B20" s="7" t="s">
        <v>11</v>
      </c>
      <c r="C20" s="5" t="s">
        <v>12</v>
      </c>
    </row>
    <row r="21" customFormat="false" ht="15" hidden="false" customHeight="true" outlineLevel="0" collapsed="false">
      <c r="B21" s="8" t="s">
        <v>13</v>
      </c>
      <c r="C21" s="5" t="s">
        <v>14</v>
      </c>
    </row>
    <row r="23" customFormat="false" ht="15" hidden="false" customHeight="true" outlineLevel="0" collapsed="false">
      <c r="B23" s="4" t="s">
        <v>15</v>
      </c>
    </row>
    <row r="24" customFormat="false" ht="15" hidden="false" customHeight="true" outlineLevel="0" collapsed="false">
      <c r="B24" s="4" t="s">
        <v>16</v>
      </c>
      <c r="C24" s="5" t="s">
        <v>17</v>
      </c>
    </row>
    <row r="25" customFormat="false" ht="15" hidden="false" customHeight="true" outlineLevel="0" collapsed="false">
      <c r="B25" s="4" t="s">
        <v>18</v>
      </c>
      <c r="C25" s="5" t="s">
        <v>19</v>
      </c>
    </row>
    <row r="26" customFormat="false" ht="15" hidden="false" customHeight="true" outlineLevel="0" collapsed="false">
      <c r="B26" s="4" t="s">
        <v>20</v>
      </c>
      <c r="C26" s="5" t="s">
        <v>21</v>
      </c>
    </row>
    <row r="27" customFormat="false" ht="15" hidden="false" customHeight="true" outlineLevel="0" collapsed="false">
      <c r="B27" s="4" t="s">
        <v>22</v>
      </c>
      <c r="C27" s="5" t="s">
        <v>23</v>
      </c>
    </row>
    <row r="28" customFormat="false" ht="15" hidden="false" customHeight="true" outlineLevel="0" collapsed="false">
      <c r="B28" s="4" t="s">
        <v>24</v>
      </c>
      <c r="C28" s="5" t="s">
        <v>25</v>
      </c>
    </row>
    <row r="29" customFormat="false" ht="15" hidden="false" customHeight="true" outlineLevel="0" collapsed="false">
      <c r="B29" s="4" t="s">
        <v>26</v>
      </c>
      <c r="C29" s="5" t="s">
        <v>27</v>
      </c>
    </row>
    <row r="31" customFormat="false" ht="15" hidden="false" customHeight="true" outlineLevel="0" collapsed="false">
      <c r="B31" s="4" t="s">
        <v>28</v>
      </c>
    </row>
    <row r="32" customFormat="false" ht="15" hidden="false" customHeight="true" outlineLevel="0" collapsed="false">
      <c r="B32" s="4" t="s">
        <v>29</v>
      </c>
      <c r="C32" s="9" t="s">
        <v>30</v>
      </c>
    </row>
    <row r="33" customFormat="false" ht="32.25" hidden="false" customHeight="true" outlineLevel="0" collapsed="false">
      <c r="B33" s="4" t="s">
        <v>31</v>
      </c>
      <c r="C33" s="9" t="s">
        <v>32</v>
      </c>
    </row>
    <row r="34" customFormat="false" ht="21.75" hidden="false" customHeight="true" outlineLevel="0" collapsed="false">
      <c r="B34" s="4" t="s">
        <v>33</v>
      </c>
      <c r="C34" s="9" t="s">
        <v>34</v>
      </c>
    </row>
    <row r="35" customFormat="false" ht="21.75" hidden="false" customHeight="true" outlineLevel="0" collapsed="false">
      <c r="B35" s="4" t="s">
        <v>35</v>
      </c>
      <c r="C35" s="9" t="s">
        <v>36</v>
      </c>
    </row>
    <row r="36" customFormat="false" ht="21.75" hidden="false" customHeight="true" outlineLevel="0" collapsed="false">
      <c r="B36" s="4" t="s">
        <v>37</v>
      </c>
      <c r="C36" s="9" t="s">
        <v>38</v>
      </c>
    </row>
    <row r="37" customFormat="false" ht="15" hidden="false" customHeight="true" outlineLevel="0" collapsed="false">
      <c r="B37" s="4" t="s">
        <v>39</v>
      </c>
      <c r="C37" s="9" t="s">
        <v>40</v>
      </c>
    </row>
    <row r="38" customFormat="false" ht="15" hidden="false" customHeight="true" outlineLevel="0" collapsed="false">
      <c r="B38" s="4" t="s">
        <v>41</v>
      </c>
      <c r="C38" s="9" t="s">
        <v>42</v>
      </c>
    </row>
    <row r="40" customFormat="false" ht="15" hidden="false" customHeight="true" outlineLevel="0" collapsed="false">
      <c r="B40" s="4" t="s">
        <v>43</v>
      </c>
    </row>
    <row r="41" customFormat="false" ht="15" hidden="false" customHeight="true" outlineLevel="0" collapsed="false">
      <c r="B41" s="4" t="s">
        <v>44</v>
      </c>
      <c r="C41" s="5" t="s">
        <v>45</v>
      </c>
    </row>
    <row r="42" customFormat="false" ht="23.25" hidden="false" customHeight="true" outlineLevel="0" collapsed="false">
      <c r="B42" s="4" t="s">
        <v>46</v>
      </c>
      <c r="C42" s="5" t="s">
        <v>47</v>
      </c>
    </row>
    <row r="43" customFormat="false" ht="15" hidden="false" customHeight="true" outlineLevel="0" collapsed="false">
      <c r="B43" s="4" t="s">
        <v>48</v>
      </c>
      <c r="C43" s="5" t="s">
        <v>49</v>
      </c>
    </row>
    <row r="44" customFormat="false" ht="23.25" hidden="false" customHeight="true" outlineLevel="0" collapsed="false">
      <c r="B44" s="4" t="s">
        <v>50</v>
      </c>
      <c r="C44" s="5" t="s">
        <v>51</v>
      </c>
    </row>
    <row r="46" customFormat="false" ht="15" hidden="false" customHeight="true" outlineLevel="0" collapsed="false">
      <c r="B46" s="10" t="s">
        <v>52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E7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48"/>
    <col collapsed="false" customWidth="true" hidden="false" outlineLevel="0" max="3" min="3" style="1" width="14"/>
    <col collapsed="false" customWidth="true" hidden="false" outlineLevel="0" max="4" min="4" style="1" width="12"/>
    <col collapsed="false" customWidth="true" hidden="false" outlineLevel="0" max="5" min="5" style="1" width="60"/>
  </cols>
  <sheetData>
    <row r="2" customFormat="false" ht="17.25" hidden="false" customHeight="true" outlineLevel="0" collapsed="false">
      <c r="B2" s="2" t="s">
        <v>53</v>
      </c>
    </row>
    <row r="3" customFormat="false" ht="15" hidden="false" customHeight="true" outlineLevel="0" collapsed="false">
      <c r="B3" s="3" t="s">
        <v>54</v>
      </c>
    </row>
    <row r="5" customFormat="false" ht="15" hidden="false" customHeight="true" outlineLevel="0" collapsed="false">
      <c r="B5" s="11" t="s">
        <v>55</v>
      </c>
      <c r="C5" s="11" t="s">
        <v>56</v>
      </c>
      <c r="D5" s="11" t="s">
        <v>57</v>
      </c>
      <c r="E5" s="11" t="s">
        <v>58</v>
      </c>
    </row>
    <row r="6" customFormat="false" ht="15" hidden="false" customHeight="true" outlineLevel="0" collapsed="false">
      <c r="B6" s="12" t="s">
        <v>59</v>
      </c>
      <c r="C6" s="13"/>
      <c r="D6" s="13"/>
      <c r="E6" s="13"/>
    </row>
    <row r="7" customFormat="false" ht="15" hidden="false" customHeight="true" outlineLevel="0" collapsed="false">
      <c r="B7" s="7" t="s">
        <v>60</v>
      </c>
      <c r="C7" s="14" t="n">
        <v>2030</v>
      </c>
      <c r="D7" s="15" t="s">
        <v>61</v>
      </c>
      <c r="E7" s="9" t="s">
        <v>62</v>
      </c>
    </row>
    <row r="8" customFormat="false" ht="15" hidden="false" customHeight="true" outlineLevel="0" collapsed="false">
      <c r="B8" s="7" t="s">
        <v>63</v>
      </c>
      <c r="C8" s="14" t="n">
        <v>2760</v>
      </c>
      <c r="D8" s="15" t="s">
        <v>61</v>
      </c>
      <c r="E8" s="9" t="s">
        <v>64</v>
      </c>
    </row>
    <row r="9" customFormat="false" ht="15" hidden="false" customHeight="true" outlineLevel="0" collapsed="false">
      <c r="B9" s="7" t="s">
        <v>65</v>
      </c>
      <c r="C9" s="14" t="n">
        <v>990</v>
      </c>
      <c r="D9" s="15" t="s">
        <v>61</v>
      </c>
      <c r="E9" s="9" t="s">
        <v>66</v>
      </c>
    </row>
    <row r="10" customFormat="false" ht="15" hidden="false" customHeight="true" outlineLevel="0" collapsed="false">
      <c r="B10" s="7" t="s">
        <v>67</v>
      </c>
      <c r="C10" s="14" t="n">
        <v>1965</v>
      </c>
      <c r="D10" s="15" t="s">
        <v>61</v>
      </c>
      <c r="E10" s="9" t="s">
        <v>68</v>
      </c>
    </row>
    <row r="11" customFormat="false" ht="15" hidden="false" customHeight="true" outlineLevel="0" collapsed="false">
      <c r="B11" s="7" t="s">
        <v>69</v>
      </c>
      <c r="C11" s="14" t="n">
        <v>2575</v>
      </c>
      <c r="D11" s="15" t="s">
        <v>61</v>
      </c>
      <c r="E11" s="9" t="s">
        <v>70</v>
      </c>
    </row>
    <row r="12" customFormat="false" ht="15" hidden="false" customHeight="true" outlineLevel="0" collapsed="false">
      <c r="B12" s="7" t="s">
        <v>71</v>
      </c>
      <c r="C12" s="14" t="n">
        <v>160</v>
      </c>
      <c r="D12" s="15" t="s">
        <v>61</v>
      </c>
      <c r="E12" s="9" t="s">
        <v>72</v>
      </c>
    </row>
    <row r="13" customFormat="false" ht="15" hidden="false" customHeight="true" outlineLevel="0" collapsed="false">
      <c r="B13" s="7" t="s">
        <v>73</v>
      </c>
      <c r="C13" s="14" t="n">
        <v>950</v>
      </c>
      <c r="D13" s="15" t="s">
        <v>61</v>
      </c>
      <c r="E13" s="9" t="s">
        <v>74</v>
      </c>
    </row>
    <row r="15" customFormat="false" ht="15" hidden="false" customHeight="true" outlineLevel="0" collapsed="false">
      <c r="B15" s="12" t="s">
        <v>75</v>
      </c>
      <c r="C15" s="13"/>
      <c r="D15" s="13"/>
      <c r="E15" s="13"/>
    </row>
    <row r="16" customFormat="false" ht="15" hidden="false" customHeight="true" outlineLevel="0" collapsed="false">
      <c r="B16" s="7" t="s">
        <v>76</v>
      </c>
      <c r="C16" s="16" t="n">
        <v>3</v>
      </c>
      <c r="D16" s="15" t="s">
        <v>77</v>
      </c>
      <c r="E16" s="9" t="s">
        <v>78</v>
      </c>
    </row>
    <row r="17" customFormat="false" ht="15" hidden="false" customHeight="true" outlineLevel="0" collapsed="false">
      <c r="B17" s="7" t="s">
        <v>79</v>
      </c>
      <c r="C17" s="16" t="n">
        <v>12</v>
      </c>
      <c r="D17" s="15" t="s">
        <v>77</v>
      </c>
      <c r="E17" s="9" t="s">
        <v>80</v>
      </c>
    </row>
    <row r="18" customFormat="false" ht="15" hidden="false" customHeight="true" outlineLevel="0" collapsed="false">
      <c r="B18" s="7" t="s">
        <v>81</v>
      </c>
      <c r="C18" s="16" t="n">
        <v>32</v>
      </c>
      <c r="D18" s="15" t="s">
        <v>82</v>
      </c>
      <c r="E18" s="9" t="s">
        <v>83</v>
      </c>
    </row>
    <row r="19" customFormat="false" ht="15" hidden="false" customHeight="true" outlineLevel="0" collapsed="false">
      <c r="B19" s="7" t="s">
        <v>84</v>
      </c>
      <c r="C19" s="16" t="n">
        <v>2</v>
      </c>
      <c r="D19" s="15" t="s">
        <v>77</v>
      </c>
      <c r="E19" s="9" t="s">
        <v>85</v>
      </c>
    </row>
    <row r="20" customFormat="false" ht="15" hidden="false" customHeight="true" outlineLevel="0" collapsed="false">
      <c r="B20" s="7" t="s">
        <v>86</v>
      </c>
      <c r="C20" s="16" t="n">
        <v>96</v>
      </c>
      <c r="D20" s="15" t="s">
        <v>87</v>
      </c>
      <c r="E20" s="9" t="s">
        <v>88</v>
      </c>
    </row>
    <row r="21" customFormat="false" ht="15" hidden="false" customHeight="true" outlineLevel="0" collapsed="false">
      <c r="B21" s="7" t="s">
        <v>89</v>
      </c>
      <c r="C21" s="16" t="n">
        <v>192</v>
      </c>
      <c r="D21" s="15" t="s">
        <v>87</v>
      </c>
      <c r="E21" s="9" t="s">
        <v>90</v>
      </c>
    </row>
    <row r="23" customFormat="false" ht="15" hidden="false" customHeight="true" outlineLevel="0" collapsed="false">
      <c r="B23" s="12" t="s">
        <v>91</v>
      </c>
      <c r="C23" s="13"/>
      <c r="D23" s="13"/>
      <c r="E23" s="13"/>
    </row>
    <row r="24" customFormat="false" ht="15" hidden="false" customHeight="true" outlineLevel="0" collapsed="false">
      <c r="B24" s="7" t="s">
        <v>92</v>
      </c>
      <c r="C24" s="14" t="n">
        <v>250</v>
      </c>
      <c r="D24" s="15" t="s">
        <v>93</v>
      </c>
      <c r="E24" s="9" t="s">
        <v>94</v>
      </c>
    </row>
    <row r="25" customFormat="false" ht="21.75" hidden="false" customHeight="true" outlineLevel="0" collapsed="false">
      <c r="B25" s="7" t="s">
        <v>95</v>
      </c>
      <c r="C25" s="17" t="n">
        <v>0.35</v>
      </c>
      <c r="D25" s="15" t="s">
        <v>96</v>
      </c>
      <c r="E25" s="9" t="s">
        <v>97</v>
      </c>
    </row>
    <row r="26" customFormat="false" ht="21.75" hidden="false" customHeight="true" outlineLevel="0" collapsed="false">
      <c r="B26" s="7" t="s">
        <v>98</v>
      </c>
      <c r="C26" s="16" t="n">
        <v>500</v>
      </c>
      <c r="D26" s="15" t="s">
        <v>99</v>
      </c>
      <c r="E26" s="9" t="s">
        <v>100</v>
      </c>
    </row>
    <row r="27" customFormat="false" ht="15" hidden="false" customHeight="true" outlineLevel="0" collapsed="false">
      <c r="B27" s="7" t="s">
        <v>101</v>
      </c>
      <c r="C27" s="16" t="n">
        <v>730</v>
      </c>
      <c r="D27" s="15" t="s">
        <v>102</v>
      </c>
      <c r="E27" s="9" t="s">
        <v>103</v>
      </c>
    </row>
    <row r="28" customFormat="false" ht="21.75" hidden="false" customHeight="true" outlineLevel="0" collapsed="false">
      <c r="B28" s="7" t="s">
        <v>104</v>
      </c>
      <c r="C28" s="14" t="n">
        <v>400</v>
      </c>
      <c r="D28" s="15" t="s">
        <v>93</v>
      </c>
      <c r="E28" s="9" t="s">
        <v>105</v>
      </c>
    </row>
    <row r="29" customFormat="false" ht="15" hidden="false" customHeight="true" outlineLevel="0" collapsed="false">
      <c r="B29" s="7" t="s">
        <v>106</v>
      </c>
      <c r="C29" s="14" t="n">
        <v>25</v>
      </c>
      <c r="D29" s="15" t="s">
        <v>93</v>
      </c>
      <c r="E29" s="9" t="s">
        <v>107</v>
      </c>
    </row>
    <row r="30" customFormat="false" ht="15" hidden="false" customHeight="true" outlineLevel="0" collapsed="false">
      <c r="B30" s="7" t="s">
        <v>108</v>
      </c>
      <c r="C30" s="14" t="n">
        <v>40</v>
      </c>
      <c r="D30" s="15" t="s">
        <v>93</v>
      </c>
      <c r="E30" s="9" t="s">
        <v>109</v>
      </c>
    </row>
    <row r="31" customFormat="false" ht="21.75" hidden="false" customHeight="true" outlineLevel="0" collapsed="false">
      <c r="B31" s="7" t="s">
        <v>110</v>
      </c>
      <c r="C31" s="14" t="n">
        <v>460</v>
      </c>
      <c r="D31" s="15" t="s">
        <v>93</v>
      </c>
      <c r="E31" s="9" t="s">
        <v>111</v>
      </c>
    </row>
    <row r="33" customFormat="false" ht="15" hidden="false" customHeight="true" outlineLevel="0" collapsed="false">
      <c r="B33" s="12" t="s">
        <v>112</v>
      </c>
      <c r="C33" s="13"/>
      <c r="D33" s="13"/>
      <c r="E33" s="13"/>
    </row>
    <row r="34" customFormat="false" ht="15" hidden="false" customHeight="true" outlineLevel="0" collapsed="false">
      <c r="B34" s="7" t="s">
        <v>113</v>
      </c>
      <c r="C34" s="18" t="n">
        <v>12</v>
      </c>
      <c r="D34" s="15" t="s">
        <v>93</v>
      </c>
      <c r="E34" s="9" t="s">
        <v>114</v>
      </c>
    </row>
    <row r="35" customFormat="false" ht="15" hidden="false" customHeight="true" outlineLevel="0" collapsed="false">
      <c r="B35" s="7" t="s">
        <v>115</v>
      </c>
      <c r="C35" s="18" t="n">
        <v>15</v>
      </c>
      <c r="D35" s="15" t="s">
        <v>93</v>
      </c>
      <c r="E35" s="9" t="s">
        <v>114</v>
      </c>
    </row>
    <row r="36" customFormat="false" ht="15" hidden="false" customHeight="true" outlineLevel="0" collapsed="false">
      <c r="B36" s="7" t="s">
        <v>116</v>
      </c>
      <c r="C36" s="19" t="n">
        <v>0.19</v>
      </c>
      <c r="D36" s="15" t="s">
        <v>117</v>
      </c>
      <c r="E36" s="9" t="s">
        <v>118</v>
      </c>
    </row>
    <row r="38" customFormat="false" ht="15" hidden="false" customHeight="true" outlineLevel="0" collapsed="false">
      <c r="B38" s="12" t="s">
        <v>119</v>
      </c>
      <c r="C38" s="13"/>
      <c r="D38" s="13"/>
      <c r="E38" s="13"/>
    </row>
    <row r="39" customFormat="false" ht="15" hidden="false" customHeight="true" outlineLevel="0" collapsed="false">
      <c r="B39" s="7" t="s">
        <v>120</v>
      </c>
      <c r="C39" s="20" t="n">
        <v>4</v>
      </c>
      <c r="D39" s="15" t="s">
        <v>82</v>
      </c>
      <c r="E39" s="9" t="s">
        <v>121</v>
      </c>
    </row>
    <row r="40" customFormat="false" ht="15" hidden="false" customHeight="true" outlineLevel="0" collapsed="false">
      <c r="B40" s="7" t="s">
        <v>122</v>
      </c>
      <c r="C40" s="20" t="n">
        <v>1.5</v>
      </c>
      <c r="D40" s="15" t="s">
        <v>82</v>
      </c>
      <c r="E40" s="9" t="s">
        <v>123</v>
      </c>
    </row>
    <row r="41" customFormat="false" ht="15" hidden="false" customHeight="true" outlineLevel="0" collapsed="false">
      <c r="B41" s="7" t="s">
        <v>124</v>
      </c>
      <c r="C41" s="20" t="n">
        <v>6</v>
      </c>
      <c r="D41" s="15" t="s">
        <v>82</v>
      </c>
      <c r="E41" s="9" t="s">
        <v>125</v>
      </c>
    </row>
    <row r="42" customFormat="false" ht="21.75" hidden="false" customHeight="true" outlineLevel="0" collapsed="false">
      <c r="B42" s="7" t="s">
        <v>126</v>
      </c>
      <c r="C42" s="20" t="n">
        <v>2</v>
      </c>
      <c r="D42" s="15" t="s">
        <v>82</v>
      </c>
      <c r="E42" s="9" t="s">
        <v>127</v>
      </c>
    </row>
    <row r="43" customFormat="false" ht="15" hidden="false" customHeight="true" outlineLevel="0" collapsed="false">
      <c r="B43" s="7" t="s">
        <v>128</v>
      </c>
      <c r="C43" s="16" t="n">
        <v>32</v>
      </c>
      <c r="D43" s="15" t="s">
        <v>82</v>
      </c>
      <c r="E43" s="9" t="s">
        <v>129</v>
      </c>
    </row>
    <row r="44" customFormat="false" ht="21.75" hidden="false" customHeight="true" outlineLevel="0" collapsed="false">
      <c r="B44" s="7" t="s">
        <v>33</v>
      </c>
      <c r="C44" s="19" t="n">
        <v>0.3</v>
      </c>
      <c r="D44" s="15" t="s">
        <v>117</v>
      </c>
      <c r="E44" s="9" t="s">
        <v>130</v>
      </c>
    </row>
    <row r="45" customFormat="false" ht="15" hidden="false" customHeight="true" outlineLevel="0" collapsed="false">
      <c r="B45" s="7" t="s">
        <v>131</v>
      </c>
      <c r="C45" s="16" t="n">
        <v>2</v>
      </c>
      <c r="D45" s="15" t="s">
        <v>87</v>
      </c>
      <c r="E45" s="9" t="s">
        <v>132</v>
      </c>
    </row>
    <row r="47" customFormat="false" ht="15" hidden="false" customHeight="true" outlineLevel="0" collapsed="false">
      <c r="B47" s="12" t="s">
        <v>133</v>
      </c>
      <c r="C47" s="13"/>
      <c r="D47" s="13"/>
      <c r="E47" s="13"/>
    </row>
    <row r="48" customFormat="false" ht="15" hidden="false" customHeight="true" outlineLevel="0" collapsed="false">
      <c r="B48" s="7" t="s">
        <v>134</v>
      </c>
      <c r="C48" s="16" t="n">
        <v>90</v>
      </c>
      <c r="D48" s="15" t="s">
        <v>77</v>
      </c>
      <c r="E48" s="9" t="s">
        <v>135</v>
      </c>
    </row>
    <row r="49" customFormat="false" ht="15" hidden="false" customHeight="true" outlineLevel="0" collapsed="false">
      <c r="B49" s="7" t="s">
        <v>136</v>
      </c>
      <c r="C49" s="16" t="n">
        <v>130</v>
      </c>
      <c r="D49" s="15" t="s">
        <v>77</v>
      </c>
      <c r="E49" s="9" t="s">
        <v>137</v>
      </c>
    </row>
    <row r="51" customFormat="false" ht="15" hidden="false" customHeight="true" outlineLevel="0" collapsed="false">
      <c r="B51" s="12" t="s">
        <v>138</v>
      </c>
      <c r="C51" s="13"/>
      <c r="D51" s="13"/>
      <c r="E51" s="13"/>
    </row>
    <row r="52" customFormat="false" ht="15" hidden="false" customHeight="true" outlineLevel="0" collapsed="false">
      <c r="B52" s="7" t="s">
        <v>139</v>
      </c>
      <c r="C52" s="18" t="n">
        <v>0.35</v>
      </c>
      <c r="D52" s="15" t="s">
        <v>61</v>
      </c>
      <c r="E52" s="9" t="s">
        <v>140</v>
      </c>
    </row>
    <row r="53" customFormat="false" ht="15" hidden="false" customHeight="true" outlineLevel="0" collapsed="false">
      <c r="B53" s="7" t="s">
        <v>141</v>
      </c>
      <c r="C53" s="21" t="n">
        <v>0.0249</v>
      </c>
      <c r="D53" s="15" t="s">
        <v>117</v>
      </c>
      <c r="E53" s="9" t="s">
        <v>140</v>
      </c>
    </row>
    <row r="54" customFormat="false" ht="21.75" hidden="false" customHeight="true" outlineLevel="0" collapsed="false">
      <c r="B54" s="7" t="s">
        <v>142</v>
      </c>
      <c r="C54" s="19" t="n">
        <v>0.13</v>
      </c>
      <c r="D54" s="15" t="s">
        <v>117</v>
      </c>
      <c r="E54" s="9" t="s">
        <v>143</v>
      </c>
    </row>
    <row r="55" customFormat="false" ht="15" hidden="false" customHeight="true" outlineLevel="0" collapsed="false">
      <c r="B55" s="7" t="s">
        <v>144</v>
      </c>
      <c r="C55" s="16" t="n">
        <v>30</v>
      </c>
      <c r="D55" s="15" t="s">
        <v>145</v>
      </c>
      <c r="E55" s="9" t="s">
        <v>146</v>
      </c>
    </row>
    <row r="56" customFormat="false" ht="15" hidden="false" customHeight="true" outlineLevel="0" collapsed="false">
      <c r="B56" s="7" t="s">
        <v>147</v>
      </c>
      <c r="C56" s="16" t="n">
        <v>35</v>
      </c>
      <c r="D56" s="15" t="s">
        <v>102</v>
      </c>
      <c r="E56" s="9" t="s">
        <v>148</v>
      </c>
    </row>
    <row r="57" customFormat="false" ht="15" hidden="false" customHeight="true" outlineLevel="0" collapsed="false">
      <c r="B57" s="7" t="s">
        <v>149</v>
      </c>
      <c r="C57" s="16" t="n">
        <v>24</v>
      </c>
      <c r="D57" s="15" t="s">
        <v>150</v>
      </c>
      <c r="E57" s="9" t="s">
        <v>151</v>
      </c>
    </row>
    <row r="59" customFormat="false" ht="15" hidden="false" customHeight="true" outlineLevel="0" collapsed="false">
      <c r="B59" s="12" t="s">
        <v>152</v>
      </c>
      <c r="C59" s="13"/>
      <c r="D59" s="13"/>
      <c r="E59" s="13"/>
    </row>
    <row r="60" customFormat="false" ht="15" hidden="false" customHeight="true" outlineLevel="0" collapsed="false">
      <c r="B60" s="7" t="s">
        <v>153</v>
      </c>
      <c r="C60" s="14" t="n">
        <v>150</v>
      </c>
      <c r="D60" s="15" t="s">
        <v>93</v>
      </c>
      <c r="E60" s="9" t="s">
        <v>154</v>
      </c>
    </row>
    <row r="61" customFormat="false" ht="15" hidden="false" customHeight="true" outlineLevel="0" collapsed="false">
      <c r="B61" s="7" t="s">
        <v>155</v>
      </c>
      <c r="C61" s="14" t="n">
        <v>100</v>
      </c>
      <c r="D61" s="15" t="s">
        <v>93</v>
      </c>
      <c r="E61" s="9" t="s">
        <v>156</v>
      </c>
    </row>
    <row r="63" customFormat="false" ht="15" hidden="false" customHeight="false" outlineLevel="0" collapsed="false">
      <c r="B63" s="12" t="s">
        <v>157</v>
      </c>
      <c r="C63" s="12"/>
      <c r="D63" s="12"/>
      <c r="E63" s="12"/>
    </row>
    <row r="64" customFormat="false" ht="15" hidden="false" customHeight="true" outlineLevel="0" collapsed="false">
      <c r="B64" s="7" t="s">
        <v>158</v>
      </c>
      <c r="C64" s="20" t="n">
        <v>1</v>
      </c>
      <c r="D64" s="15" t="s">
        <v>87</v>
      </c>
      <c r="E64" s="9" t="s">
        <v>159</v>
      </c>
    </row>
    <row r="65" customFormat="false" ht="64.15" hidden="false" customHeight="false" outlineLevel="0" collapsed="false">
      <c r="B65" s="7" t="s">
        <v>160</v>
      </c>
      <c r="C65" s="20" t="n">
        <v>0.8</v>
      </c>
      <c r="D65" s="15" t="s">
        <v>87</v>
      </c>
      <c r="E65" s="9" t="s">
        <v>161</v>
      </c>
    </row>
    <row r="66" customFormat="false" ht="22.35" hidden="false" customHeight="false" outlineLevel="0" collapsed="false">
      <c r="B66" s="7" t="s">
        <v>162</v>
      </c>
      <c r="C66" s="20" t="n">
        <v>2</v>
      </c>
      <c r="D66" s="15" t="s">
        <v>87</v>
      </c>
      <c r="E66" s="9" t="s">
        <v>163</v>
      </c>
    </row>
    <row r="67" customFormat="false" ht="32.8" hidden="false" customHeight="false" outlineLevel="0" collapsed="false">
      <c r="B67" s="7" t="s">
        <v>164</v>
      </c>
      <c r="C67" s="20" t="n">
        <v>0</v>
      </c>
      <c r="D67" s="15" t="s">
        <v>87</v>
      </c>
      <c r="E67" s="9" t="s">
        <v>165</v>
      </c>
    </row>
    <row r="69" customFormat="false" ht="15" hidden="false" customHeight="false" outlineLevel="0" collapsed="false">
      <c r="B69" s="7" t="s">
        <v>166</v>
      </c>
      <c r="C69" s="20" t="n">
        <v>48</v>
      </c>
      <c r="D69" s="15" t="s">
        <v>167</v>
      </c>
      <c r="E69" s="9" t="s">
        <v>168</v>
      </c>
    </row>
    <row r="70" customFormat="false" ht="32.8" hidden="false" customHeight="false" outlineLevel="0" collapsed="false">
      <c r="B70" s="7" t="s">
        <v>169</v>
      </c>
      <c r="C70" s="20" t="n">
        <v>96</v>
      </c>
      <c r="D70" s="15" t="s">
        <v>167</v>
      </c>
      <c r="E70" s="9" t="s">
        <v>170</v>
      </c>
    </row>
    <row r="72" customFormat="false" ht="15" hidden="false" customHeight="false" outlineLevel="0" collapsed="false">
      <c r="B72" s="10" t="s">
        <v>52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F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48"/>
    <col collapsed="false" customWidth="true" hidden="false" outlineLevel="0" max="3" min="3" style="1" width="10"/>
    <col collapsed="false" customWidth="true" hidden="false" outlineLevel="0" max="5" min="4" style="1" width="14"/>
    <col collapsed="false" customWidth="true" hidden="false" outlineLevel="0" max="6" min="6" style="1" width="58"/>
  </cols>
  <sheetData>
    <row r="2" customFormat="false" ht="17.25" hidden="false" customHeight="true" outlineLevel="0" collapsed="false">
      <c r="B2" s="2" t="s">
        <v>171</v>
      </c>
    </row>
    <row r="3" customFormat="false" ht="15" hidden="false" customHeight="true" outlineLevel="0" collapsed="false">
      <c r="B3" s="3" t="s">
        <v>172</v>
      </c>
    </row>
    <row r="5" customFormat="false" ht="15" hidden="false" customHeight="true" outlineLevel="0" collapsed="false">
      <c r="B5" s="11" t="s">
        <v>173</v>
      </c>
      <c r="C5" s="11" t="s">
        <v>174</v>
      </c>
      <c r="D5" s="11" t="s">
        <v>175</v>
      </c>
      <c r="E5" s="11" t="s">
        <v>176</v>
      </c>
      <c r="F5" s="11" t="s">
        <v>58</v>
      </c>
    </row>
    <row r="6" customFormat="false" ht="15" hidden="false" customHeight="true" outlineLevel="0" collapsed="false">
      <c r="B6" s="7" t="s">
        <v>177</v>
      </c>
      <c r="C6" s="22" t="n">
        <v>1</v>
      </c>
      <c r="D6" s="23" t="n">
        <f aca="false">Inputs!$C$7</f>
        <v>2030</v>
      </c>
      <c r="E6" s="24" t="n">
        <f aca="false">C6*D6</f>
        <v>2030</v>
      </c>
      <c r="F6" s="9" t="s">
        <v>178</v>
      </c>
    </row>
    <row r="7" customFormat="false" ht="15" hidden="false" customHeight="true" outlineLevel="0" collapsed="false">
      <c r="B7" s="7" t="s">
        <v>179</v>
      </c>
      <c r="C7" s="25" t="n">
        <f aca="false">Inputs!$C$16-1</f>
        <v>2</v>
      </c>
      <c r="D7" s="23" t="n">
        <f aca="false">Inputs!$C$8</f>
        <v>2760</v>
      </c>
      <c r="E7" s="24" t="n">
        <f aca="false">C7*D7</f>
        <v>5520</v>
      </c>
      <c r="F7" s="9" t="s">
        <v>180</v>
      </c>
    </row>
    <row r="8" customFormat="false" ht="15" hidden="false" customHeight="true" outlineLevel="0" collapsed="false">
      <c r="B8" s="7" t="s">
        <v>65</v>
      </c>
      <c r="C8" s="25" t="n">
        <f aca="false">Inputs!$C$16*Inputs!$C$17</f>
        <v>36</v>
      </c>
      <c r="D8" s="23" t="n">
        <f aca="false">Inputs!$C$9</f>
        <v>990</v>
      </c>
      <c r="E8" s="24" t="n">
        <f aca="false">C8*D8</f>
        <v>35640</v>
      </c>
      <c r="F8" s="9" t="s">
        <v>181</v>
      </c>
    </row>
    <row r="9" customFormat="false" ht="15" hidden="false" customHeight="true" outlineLevel="0" collapsed="false">
      <c r="B9" s="7" t="s">
        <v>182</v>
      </c>
      <c r="C9" s="25" t="n">
        <f aca="false">Inputs!$C$16*Inputs!$C$19</f>
        <v>6</v>
      </c>
      <c r="D9" s="23" t="n">
        <f aca="false">Inputs!$C$10</f>
        <v>1965</v>
      </c>
      <c r="E9" s="24" t="n">
        <f aca="false">C9*D9</f>
        <v>11790</v>
      </c>
      <c r="F9" s="9" t="s">
        <v>183</v>
      </c>
    </row>
    <row r="10" customFormat="false" ht="15" hidden="false" customHeight="true" outlineLevel="0" collapsed="false">
      <c r="B10" s="7" t="s">
        <v>69</v>
      </c>
      <c r="C10" s="25" t="n">
        <f aca="false">Inputs!$C$16</f>
        <v>3</v>
      </c>
      <c r="D10" s="23" t="n">
        <f aca="false">Inputs!$C$11</f>
        <v>2575</v>
      </c>
      <c r="E10" s="24" t="n">
        <f aca="false">C10*D10</f>
        <v>7725</v>
      </c>
      <c r="F10" s="9" t="s">
        <v>184</v>
      </c>
    </row>
    <row r="11" customFormat="false" ht="15" hidden="false" customHeight="true" outlineLevel="0" collapsed="false">
      <c r="B11" s="7" t="s">
        <v>71</v>
      </c>
      <c r="C11" s="25" t="n">
        <f aca="false">Inputs!$C$16</f>
        <v>3</v>
      </c>
      <c r="D11" s="23" t="n">
        <f aca="false">Inputs!$C$12</f>
        <v>160</v>
      </c>
      <c r="E11" s="24" t="n">
        <f aca="false">C11*D11</f>
        <v>480</v>
      </c>
      <c r="F11" s="9" t="s">
        <v>185</v>
      </c>
    </row>
    <row r="12" customFormat="false" ht="15" hidden="false" customHeight="true" outlineLevel="0" collapsed="false">
      <c r="B12" s="7" t="s">
        <v>73</v>
      </c>
      <c r="C12" s="22" t="n">
        <v>1</v>
      </c>
      <c r="D12" s="23" t="n">
        <f aca="false">Inputs!$C$13</f>
        <v>950</v>
      </c>
      <c r="E12" s="24" t="n">
        <f aca="false">C12*D12</f>
        <v>950</v>
      </c>
      <c r="F12" s="9" t="s">
        <v>186</v>
      </c>
    </row>
    <row r="13" customFormat="false" ht="15" hidden="false" customHeight="true" outlineLevel="0" collapsed="false">
      <c r="B13" s="26" t="s">
        <v>187</v>
      </c>
      <c r="C13" s="27"/>
      <c r="D13" s="27"/>
      <c r="E13" s="28" t="n">
        <f aca="false">SUM(E6:E12)</f>
        <v>64135</v>
      </c>
      <c r="F13" s="27"/>
    </row>
    <row r="15" customFormat="false" ht="15" hidden="false" customHeight="true" outlineLevel="0" collapsed="false">
      <c r="B15" s="7" t="s">
        <v>188</v>
      </c>
      <c r="E15" s="29" t="n">
        <f aca="false">Inputs!$C$16*Inputs!$C$17*Inputs!$C$18</f>
        <v>1152</v>
      </c>
    </row>
    <row r="16" customFormat="false" ht="15" hidden="false" customHeight="true" outlineLevel="0" collapsed="false">
      <c r="B16" s="7" t="s">
        <v>189</v>
      </c>
      <c r="E16" s="29" t="n">
        <f aca="false">Inputs!$C$20+(Inputs!$C$16-1)*Inputs!$C$21</f>
        <v>480</v>
      </c>
    </row>
    <row r="18" customFormat="false" ht="15" hidden="false" customHeight="true" outlineLevel="0" collapsed="false">
      <c r="B18" s="15" t="s">
        <v>190</v>
      </c>
    </row>
    <row r="21" customFormat="false" ht="15" hidden="false" customHeight="true" outlineLevel="0" collapsed="false">
      <c r="B21" s="10" t="s">
        <v>52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D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48"/>
    <col collapsed="false" customWidth="true" hidden="false" outlineLevel="0" max="3" min="3" style="1" width="16"/>
    <col collapsed="false" customWidth="true" hidden="false" outlineLevel="0" max="4" min="4" style="1" width="72"/>
  </cols>
  <sheetData>
    <row r="2" customFormat="false" ht="17.25" hidden="false" customHeight="true" outlineLevel="0" collapsed="false">
      <c r="B2" s="2" t="s">
        <v>191</v>
      </c>
    </row>
    <row r="3" customFormat="false" ht="15" hidden="false" customHeight="true" outlineLevel="0" collapsed="false">
      <c r="B3" s="3" t="s">
        <v>192</v>
      </c>
    </row>
    <row r="5" customFormat="false" ht="15" hidden="false" customHeight="true" outlineLevel="0" collapsed="false">
      <c r="B5" s="11" t="s">
        <v>173</v>
      </c>
      <c r="C5" s="11" t="s">
        <v>193</v>
      </c>
      <c r="D5" s="11" t="s">
        <v>58</v>
      </c>
    </row>
    <row r="6" customFormat="false" ht="21.75" hidden="false" customHeight="true" outlineLevel="0" collapsed="false">
      <c r="B6" s="7" t="s">
        <v>194</v>
      </c>
      <c r="C6" s="30" t="n">
        <f aca="false">Inputs!$C$24</f>
        <v>250</v>
      </c>
      <c r="D6" s="9" t="s">
        <v>195</v>
      </c>
    </row>
    <row r="7" customFormat="false" ht="21.75" hidden="false" customHeight="true" outlineLevel="0" collapsed="false">
      <c r="B7" s="7" t="s">
        <v>196</v>
      </c>
      <c r="C7" s="30" t="n">
        <f aca="false">Inputs!$C$16*Inputs!$C$26/1000*Inputs!$C$27*Inputs!$C$25</f>
        <v>383.25</v>
      </c>
      <c r="D7" s="9" t="s">
        <v>197</v>
      </c>
    </row>
    <row r="8" customFormat="false" ht="21.75" hidden="false" customHeight="true" outlineLevel="0" collapsed="false">
      <c r="B8" s="7" t="s">
        <v>104</v>
      </c>
      <c r="C8" s="30" t="n">
        <f aca="false">Inputs!$C$28</f>
        <v>400</v>
      </c>
      <c r="D8" s="9" t="s">
        <v>198</v>
      </c>
    </row>
    <row r="9" customFormat="false" ht="15" hidden="false" customHeight="true" outlineLevel="0" collapsed="false">
      <c r="B9" s="7" t="s">
        <v>106</v>
      </c>
      <c r="C9" s="30" t="n">
        <f aca="false">Inputs!$C$29</f>
        <v>25</v>
      </c>
      <c r="D9" s="9" t="s">
        <v>199</v>
      </c>
    </row>
    <row r="10" customFormat="false" ht="15" hidden="false" customHeight="true" outlineLevel="0" collapsed="false">
      <c r="B10" s="7" t="s">
        <v>108</v>
      </c>
      <c r="C10" s="30" t="n">
        <f aca="false">Inputs!$C$30</f>
        <v>40</v>
      </c>
      <c r="D10" s="9" t="s">
        <v>200</v>
      </c>
    </row>
    <row r="11" customFormat="false" ht="21.75" hidden="false" customHeight="true" outlineLevel="0" collapsed="false">
      <c r="B11" s="7" t="s">
        <v>110</v>
      </c>
      <c r="C11" s="30" t="n">
        <f aca="false">Inputs!$C$31</f>
        <v>460</v>
      </c>
      <c r="D11" s="9" t="s">
        <v>201</v>
      </c>
    </row>
    <row r="12" customFormat="false" ht="15" hidden="false" customHeight="true" outlineLevel="0" collapsed="false">
      <c r="B12" s="26" t="s">
        <v>202</v>
      </c>
      <c r="C12" s="31" t="n">
        <f aca="false">SUM(C6:C11)</f>
        <v>1558.25</v>
      </c>
      <c r="D12" s="27"/>
    </row>
    <row r="14" customFormat="false" ht="15" hidden="false" customHeight="true" outlineLevel="0" collapsed="false">
      <c r="B14" s="7" t="s">
        <v>203</v>
      </c>
      <c r="C14" s="29" t="n">
        <f aca="false">Inputs!$C$16*Inputs!$C$26/1000*Inputs!$C$27</f>
        <v>1095</v>
      </c>
      <c r="D14" s="15" t="s">
        <v>204</v>
      </c>
    </row>
    <row r="15" customFormat="false" ht="15" hidden="false" customHeight="true" outlineLevel="0" collapsed="false">
      <c r="B15" s="7" t="s">
        <v>205</v>
      </c>
      <c r="C15" s="24" t="n">
        <f aca="false">OPEX!$C$12*12</f>
        <v>18699</v>
      </c>
    </row>
    <row r="18" customFormat="false" ht="15" hidden="false" customHeight="true" outlineLevel="0" collapsed="false">
      <c r="B18" s="10" t="s">
        <v>52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F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44"/>
    <col collapsed="false" customWidth="true" hidden="false" outlineLevel="0" max="5" min="3" style="1" width="16"/>
    <col collapsed="false" customWidth="true" hidden="false" outlineLevel="0" max="6" min="6" style="1" width="62"/>
  </cols>
  <sheetData>
    <row r="2" customFormat="false" ht="17.25" hidden="false" customHeight="true" outlineLevel="0" collapsed="false">
      <c r="B2" s="2" t="s">
        <v>206</v>
      </c>
    </row>
    <row r="3" customFormat="false" ht="15" hidden="false" customHeight="true" outlineLevel="0" collapsed="false">
      <c r="B3" s="3" t="s">
        <v>207</v>
      </c>
    </row>
    <row r="5" customFormat="false" ht="23.25" hidden="false" customHeight="true" outlineLevel="0" collapsed="false">
      <c r="B5" s="32" t="s">
        <v>208</v>
      </c>
      <c r="C5" s="32" t="s">
        <v>209</v>
      </c>
      <c r="D5" s="32" t="s">
        <v>210</v>
      </c>
      <c r="E5" s="32" t="s">
        <v>211</v>
      </c>
      <c r="F5" s="32" t="s">
        <v>58</v>
      </c>
    </row>
    <row r="6" customFormat="false" ht="15" hidden="false" customHeight="true" outlineLevel="0" collapsed="false">
      <c r="B6" s="7" t="s">
        <v>212</v>
      </c>
      <c r="C6" s="29" t="n">
        <f aca="false">Inputs!$C$17*Inputs!$C$18</f>
        <v>384</v>
      </c>
      <c r="D6" s="29" t="n">
        <f aca="false">Inputs!$C$17*Inputs!$C$18</f>
        <v>384</v>
      </c>
      <c r="E6" s="29" t="n">
        <f aca="false">Inputs!$C$17*Inputs!$C$18</f>
        <v>384</v>
      </c>
      <c r="F6" s="9" t="s">
        <v>213</v>
      </c>
    </row>
    <row r="7" customFormat="false" ht="15" hidden="false" customHeight="true" outlineLevel="0" collapsed="false">
      <c r="B7" s="7" t="s">
        <v>214</v>
      </c>
      <c r="C7" s="29" t="n">
        <f aca="false">Inputs!$C$43</f>
        <v>32</v>
      </c>
      <c r="D7" s="29" t="n">
        <f aca="false">Inputs!$C$43</f>
        <v>32</v>
      </c>
      <c r="E7" s="29" t="n">
        <f aca="false">Inputs!$C$43</f>
        <v>32</v>
      </c>
      <c r="F7" s="9" t="s">
        <v>215</v>
      </c>
    </row>
    <row r="8" customFormat="false" ht="15" hidden="false" customHeight="true" outlineLevel="0" collapsed="false">
      <c r="B8" s="7" t="s">
        <v>216</v>
      </c>
      <c r="C8" s="25" t="n">
        <f aca="false">C6-C7</f>
        <v>352</v>
      </c>
      <c r="D8" s="25" t="n">
        <f aca="false">D6-D7</f>
        <v>352</v>
      </c>
      <c r="E8" s="25" t="n">
        <f aca="false">E6-E7</f>
        <v>352</v>
      </c>
      <c r="F8" s="9"/>
    </row>
    <row r="9" customFormat="false" ht="15" hidden="false" customHeight="true" outlineLevel="0" collapsed="false">
      <c r="B9" s="7" t="s">
        <v>217</v>
      </c>
      <c r="C9" s="29" t="n">
        <f aca="false">Inputs!$C$20</f>
        <v>96</v>
      </c>
      <c r="D9" s="29" t="n">
        <f aca="false">Inputs!$C$21</f>
        <v>192</v>
      </c>
      <c r="E9" s="29" t="n">
        <f aca="false">Inputs!$C$21</f>
        <v>192</v>
      </c>
      <c r="F9" s="9"/>
    </row>
    <row r="10" customFormat="false" ht="15" hidden="false" customHeight="true" outlineLevel="0" collapsed="false">
      <c r="B10" s="7" t="s">
        <v>218</v>
      </c>
      <c r="C10" s="33" t="n">
        <f aca="false">Inputs!$C$41</f>
        <v>6</v>
      </c>
      <c r="D10" s="33" t="n">
        <f aca="false">Inputs!$C$39</f>
        <v>4</v>
      </c>
      <c r="E10" s="33" t="n">
        <f aca="false">Inputs!$C$39</f>
        <v>4</v>
      </c>
      <c r="F10" s="9" t="s">
        <v>219</v>
      </c>
    </row>
    <row r="11" customFormat="false" ht="15" hidden="false" customHeight="true" outlineLevel="0" collapsed="false">
      <c r="B11" s="7" t="s">
        <v>220</v>
      </c>
      <c r="C11" s="33" t="n">
        <f aca="false">Inputs!$C$42</f>
        <v>2</v>
      </c>
      <c r="D11" s="33" t="n">
        <f aca="false">Inputs!$C$40</f>
        <v>1.5</v>
      </c>
      <c r="E11" s="33" t="n">
        <f aca="false">Inputs!$C$40</f>
        <v>1.5</v>
      </c>
      <c r="F11" s="9" t="s">
        <v>221</v>
      </c>
    </row>
    <row r="12" customFormat="false" ht="15" hidden="false" customHeight="true" outlineLevel="0" collapsed="false">
      <c r="B12" s="7" t="s">
        <v>222</v>
      </c>
      <c r="C12" s="34" t="n">
        <f aca="false">C8/C10</f>
        <v>58.6666666666667</v>
      </c>
      <c r="D12" s="34" t="n">
        <f aca="false">D8/D10</f>
        <v>88</v>
      </c>
      <c r="E12" s="34" t="n">
        <f aca="false">E8/E10</f>
        <v>88</v>
      </c>
      <c r="F12" s="9" t="s">
        <v>223</v>
      </c>
    </row>
    <row r="13" customFormat="false" ht="15" hidden="false" customHeight="true" outlineLevel="0" collapsed="false">
      <c r="B13" s="7" t="s">
        <v>224</v>
      </c>
      <c r="C13" s="29" t="n">
        <f aca="false">Inputs!$C$48</f>
        <v>90</v>
      </c>
      <c r="D13" s="29" t="n">
        <f aca="false">Inputs!$C$49</f>
        <v>130</v>
      </c>
      <c r="E13" s="29" t="n">
        <f aca="false">Inputs!$C$49</f>
        <v>130</v>
      </c>
      <c r="F13" s="9"/>
    </row>
    <row r="14" customFormat="false" ht="15" hidden="false" customHeight="true" outlineLevel="0" collapsed="false">
      <c r="B14" s="7" t="s">
        <v>225</v>
      </c>
      <c r="C14" s="35" t="n">
        <f aca="false">C13/C12</f>
        <v>1.53409090909091</v>
      </c>
      <c r="D14" s="35" t="n">
        <f aca="false">D13/D12</f>
        <v>1.47727272727273</v>
      </c>
      <c r="E14" s="35" t="n">
        <f aca="false">E13/E12</f>
        <v>1.47727272727273</v>
      </c>
      <c r="F14" s="9" t="s">
        <v>226</v>
      </c>
    </row>
    <row r="15" customFormat="false" ht="15" hidden="false" customHeight="true" outlineLevel="0" collapsed="false">
      <c r="B15" s="7" t="s">
        <v>227</v>
      </c>
      <c r="C15" s="34" t="n">
        <f aca="false">C9/Inputs!$C$45</f>
        <v>48</v>
      </c>
      <c r="D15" s="34" t="n">
        <f aca="false">D9/Inputs!$C$45</f>
        <v>96</v>
      </c>
      <c r="E15" s="34" t="n">
        <f aca="false">E9/Inputs!$C$45</f>
        <v>96</v>
      </c>
      <c r="F15" s="9"/>
    </row>
    <row r="16" customFormat="false" ht="15" hidden="false" customHeight="true" outlineLevel="0" collapsed="false">
      <c r="B16" s="7" t="s">
        <v>228</v>
      </c>
      <c r="C16" s="35" t="n">
        <f aca="false">C13/C15</f>
        <v>1.875</v>
      </c>
      <c r="D16" s="35" t="n">
        <f aca="false">D13/D15</f>
        <v>1.35416666666667</v>
      </c>
      <c r="E16" s="35" t="n">
        <f aca="false">E13/E15</f>
        <v>1.35416666666667</v>
      </c>
      <c r="F16" s="9" t="s">
        <v>229</v>
      </c>
    </row>
    <row r="17" customFormat="false" ht="15" hidden="false" customHeight="true" outlineLevel="0" collapsed="false">
      <c r="B17" s="7" t="s">
        <v>230</v>
      </c>
      <c r="C17" s="34" t="n">
        <f aca="false">C13*Inputs!$C$44</f>
        <v>27</v>
      </c>
      <c r="D17" s="34" t="n">
        <f aca="false">D13*Inputs!$C$44</f>
        <v>39</v>
      </c>
      <c r="E17" s="34" t="n">
        <f aca="false">E13*Inputs!$C$44</f>
        <v>39</v>
      </c>
      <c r="F17" s="9" t="s">
        <v>231</v>
      </c>
    </row>
    <row r="18" customFormat="false" ht="15" hidden="false" customHeight="true" outlineLevel="0" collapsed="false">
      <c r="B18" s="7" t="s">
        <v>232</v>
      </c>
      <c r="C18" s="34" t="n">
        <f aca="false">C13-C17</f>
        <v>63</v>
      </c>
      <c r="D18" s="34" t="n">
        <f aca="false">D13-D17</f>
        <v>91</v>
      </c>
      <c r="E18" s="34" t="n">
        <f aca="false">E13-E17</f>
        <v>91</v>
      </c>
      <c r="F18" s="9"/>
    </row>
    <row r="19" customFormat="false" ht="15" hidden="false" customHeight="true" outlineLevel="0" collapsed="false">
      <c r="B19" s="4" t="s">
        <v>233</v>
      </c>
      <c r="C19" s="36" t="n">
        <f aca="false">C17*C10+C18*C11</f>
        <v>288</v>
      </c>
      <c r="D19" s="36" t="n">
        <f aca="false">D17*D10+D18*D11</f>
        <v>292.5</v>
      </c>
      <c r="E19" s="36" t="n">
        <f aca="false">E17*E10+E18*E11</f>
        <v>292.5</v>
      </c>
      <c r="F19" s="9" t="s">
        <v>234</v>
      </c>
    </row>
    <row r="20" customFormat="false" ht="15" hidden="false" customHeight="true" outlineLevel="0" collapsed="false">
      <c r="B20" s="7" t="s">
        <v>235</v>
      </c>
      <c r="C20" s="37" t="n">
        <f aca="false">C19/C8</f>
        <v>0.818181818181818</v>
      </c>
      <c r="D20" s="37" t="n">
        <f aca="false">D19/D8</f>
        <v>0.830965909090909</v>
      </c>
      <c r="E20" s="37" t="n">
        <f aca="false">E19/E8</f>
        <v>0.830965909090909</v>
      </c>
      <c r="F20" s="9" t="s">
        <v>236</v>
      </c>
    </row>
    <row r="21" customFormat="false" ht="15" hidden="false" customHeight="true" outlineLevel="0" collapsed="false">
      <c r="B21" s="7" t="s">
        <v>237</v>
      </c>
      <c r="C21" s="25" t="n">
        <f aca="false">C8-C19</f>
        <v>64</v>
      </c>
      <c r="D21" s="25" t="n">
        <f aca="false">D8-D19</f>
        <v>59.5</v>
      </c>
      <c r="E21" s="25" t="n">
        <f aca="false">E8-E19</f>
        <v>59.5</v>
      </c>
      <c r="F21" s="9"/>
    </row>
    <row r="22" customFormat="false" ht="15" hidden="false" customHeight="true" outlineLevel="0" collapsed="false">
      <c r="B22" s="7" t="s">
        <v>238</v>
      </c>
      <c r="C22" s="34" t="n">
        <f aca="false">C17*Inputs!$C$45</f>
        <v>54</v>
      </c>
      <c r="D22" s="34" t="n">
        <f aca="false">D17*Inputs!$C$45</f>
        <v>78</v>
      </c>
      <c r="E22" s="34" t="n">
        <f aca="false">E17*Inputs!$C$45</f>
        <v>78</v>
      </c>
      <c r="F22" s="9" t="s">
        <v>239</v>
      </c>
    </row>
    <row r="23" customFormat="false" ht="15" hidden="false" customHeight="true" outlineLevel="0" collapsed="false">
      <c r="B23" s="7" t="s">
        <v>240</v>
      </c>
      <c r="C23" s="37" t="n">
        <f aca="false">C22/C9</f>
        <v>0.5625</v>
      </c>
      <c r="D23" s="37" t="n">
        <f aca="false">D22/D9</f>
        <v>0.40625</v>
      </c>
      <c r="E23" s="37" t="n">
        <f aca="false">E22/E9</f>
        <v>0.40625</v>
      </c>
      <c r="F23" s="9" t="s">
        <v>241</v>
      </c>
    </row>
    <row r="25" customFormat="false" ht="15" hidden="false" customHeight="true" outlineLevel="0" collapsed="false">
      <c r="B25" s="26" t="s">
        <v>242</v>
      </c>
      <c r="C25" s="38" t="n">
        <f aca="false">SUM(C13:E13)</f>
        <v>350</v>
      </c>
      <c r="D25" s="27"/>
      <c r="E25" s="27"/>
      <c r="F25" s="27"/>
    </row>
    <row r="27" customFormat="false" ht="15" hidden="false" customHeight="true" outlineLevel="0" collapsed="false">
      <c r="B27" s="32" t="s">
        <v>243</v>
      </c>
      <c r="C27" s="32"/>
      <c r="D27" s="32"/>
      <c r="E27" s="32"/>
      <c r="F27" s="32"/>
    </row>
    <row r="28" customFormat="false" ht="15" hidden="false" customHeight="true" outlineLevel="0" collapsed="false">
      <c r="B28" s="7" t="s">
        <v>244</v>
      </c>
      <c r="C28" s="29" t="n">
        <f aca="false">Inputs!$C$69</f>
        <v>48</v>
      </c>
      <c r="D28" s="29" t="n">
        <f aca="false">Inputs!$C$70</f>
        <v>96</v>
      </c>
      <c r="E28" s="29" t="n">
        <f aca="false">Inputs!$C$70</f>
        <v>96</v>
      </c>
      <c r="F28" s="9" t="s">
        <v>245</v>
      </c>
    </row>
    <row r="29" customFormat="false" ht="15" hidden="false" customHeight="false" outlineLevel="0" collapsed="false">
      <c r="B29" s="7" t="s">
        <v>246</v>
      </c>
      <c r="C29" s="33" t="n">
        <f aca="false">C17*Inputs!$C$66+C18*Inputs!$C$67</f>
        <v>54</v>
      </c>
      <c r="D29" s="33" t="n">
        <f aca="false">D17*Inputs!$C$64+D18*Inputs!$C$65</f>
        <v>111.8</v>
      </c>
      <c r="E29" s="33" t="n">
        <f aca="false">E17*Inputs!$C$64+E18*Inputs!$C$65</f>
        <v>111.8</v>
      </c>
      <c r="F29" s="9" t="s">
        <v>247</v>
      </c>
    </row>
    <row r="30" customFormat="false" ht="15" hidden="false" customHeight="false" outlineLevel="0" collapsed="false">
      <c r="B30" s="7" t="s">
        <v>248</v>
      </c>
      <c r="C30" s="37" t="n">
        <f aca="false">C29/C28</f>
        <v>1.125</v>
      </c>
      <c r="D30" s="37" t="n">
        <f aca="false">D29/D28</f>
        <v>1.16458333333333</v>
      </c>
      <c r="E30" s="37" t="n">
        <f aca="false">E29/E28</f>
        <v>1.16458333333333</v>
      </c>
      <c r="F30" s="9" t="s">
        <v>249</v>
      </c>
    </row>
    <row r="31" customFormat="false" ht="15" hidden="false" customHeight="true" outlineLevel="0" collapsed="false">
      <c r="B31" s="7" t="s">
        <v>250</v>
      </c>
      <c r="C31" s="37" t="n">
        <f aca="false">C29/C9</f>
        <v>0.5625</v>
      </c>
      <c r="D31" s="37" t="n">
        <f aca="false">D29/D9</f>
        <v>0.582291666666667</v>
      </c>
      <c r="E31" s="37" t="n">
        <f aca="false">E29/E9</f>
        <v>0.582291666666667</v>
      </c>
      <c r="F31" s="9" t="s">
        <v>251</v>
      </c>
    </row>
    <row r="32" customFormat="false" ht="32.8" hidden="false" customHeight="false" outlineLevel="0" collapsed="false">
      <c r="B32" s="7" t="s">
        <v>252</v>
      </c>
      <c r="C32" s="29" t="n">
        <f aca="false">C28/(C29/C13)</f>
        <v>80</v>
      </c>
      <c r="D32" s="29" t="n">
        <f aca="false">D28/(D29/D13)</f>
        <v>111.627906976744</v>
      </c>
      <c r="E32" s="29" t="n">
        <f aca="false">E28/(E29/E13)</f>
        <v>111.627906976744</v>
      </c>
      <c r="F32" s="9" t="s">
        <v>253</v>
      </c>
    </row>
    <row r="33" customFormat="false" ht="15" hidden="false" customHeight="true" outlineLevel="0" collapsed="false">
      <c r="B33" s="39" t="s">
        <v>254</v>
      </c>
      <c r="C33" s="39"/>
      <c r="D33" s="39"/>
      <c r="E33" s="39"/>
      <c r="F33" s="39"/>
    </row>
    <row r="34" customFormat="false" ht="15" hidden="false" customHeight="false" outlineLevel="0" collapsed="false">
      <c r="B34" s="39"/>
      <c r="C34" s="39"/>
      <c r="D34" s="39"/>
      <c r="E34" s="39"/>
      <c r="F34" s="39"/>
    </row>
    <row r="35" customFormat="false" ht="15" hidden="false" customHeight="true" outlineLevel="0" collapsed="false">
      <c r="B35" s="39" t="s">
        <v>255</v>
      </c>
      <c r="C35" s="39"/>
      <c r="D35" s="39"/>
      <c r="E35" s="39"/>
      <c r="F35" s="39"/>
    </row>
    <row r="36" customFormat="false" ht="15" hidden="false" customHeight="false" outlineLevel="0" collapsed="false">
      <c r="B36" s="39"/>
      <c r="C36" s="39"/>
      <c r="D36" s="39"/>
      <c r="E36" s="39"/>
      <c r="F36" s="39"/>
    </row>
    <row r="38" customFormat="false" ht="15" hidden="false" customHeight="false" outlineLevel="0" collapsed="false">
      <c r="B38" s="10" t="s">
        <v>52</v>
      </c>
    </row>
  </sheetData>
  <mergeCells count="2">
    <mergeCell ref="B33:F34"/>
    <mergeCell ref="B35:F3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E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48"/>
    <col collapsed="false" customWidth="true" hidden="false" outlineLevel="0" max="3" min="3" style="1" width="16"/>
    <col collapsed="false" customWidth="true" hidden="false" outlineLevel="0" max="4" min="4" style="1" width="70"/>
  </cols>
  <sheetData>
    <row r="2" customFormat="false" ht="17.25" hidden="false" customHeight="true" outlineLevel="0" collapsed="false">
      <c r="B2" s="2" t="s">
        <v>256</v>
      </c>
    </row>
    <row r="3" customFormat="false" ht="15" hidden="false" customHeight="true" outlineLevel="0" collapsed="false">
      <c r="B3" s="3" t="s">
        <v>257</v>
      </c>
    </row>
    <row r="5" customFormat="false" ht="15" hidden="false" customHeight="true" outlineLevel="0" collapsed="false">
      <c r="B5" s="12" t="s">
        <v>258</v>
      </c>
      <c r="C5" s="13"/>
      <c r="D5" s="13"/>
      <c r="E5" s="13"/>
    </row>
    <row r="6" customFormat="false" ht="15" hidden="false" customHeight="true" outlineLevel="0" collapsed="false">
      <c r="B6" s="7" t="s">
        <v>259</v>
      </c>
      <c r="C6" s="40" t="n">
        <f aca="false">Inputs!$C$34/(1+Inputs!$C$36)</f>
        <v>10.0840336134454</v>
      </c>
      <c r="D6" s="9" t="s">
        <v>260</v>
      </c>
    </row>
    <row r="7" customFormat="false" ht="15" hidden="false" customHeight="true" outlineLevel="0" collapsed="false">
      <c r="B7" s="7" t="s">
        <v>261</v>
      </c>
      <c r="C7" s="40" t="n">
        <f aca="false">Inputs!$C$35/(1+Inputs!$C$36)</f>
        <v>12.6050420168067</v>
      </c>
      <c r="D7" s="9"/>
    </row>
    <row r="9" customFormat="false" ht="15" hidden="false" customHeight="true" outlineLevel="0" collapsed="false">
      <c r="B9" s="12" t="s">
        <v>262</v>
      </c>
      <c r="C9" s="13"/>
      <c r="D9" s="13"/>
      <c r="E9" s="13"/>
    </row>
    <row r="10" customFormat="false" ht="15" hidden="false" customHeight="true" outlineLevel="0" collapsed="false">
      <c r="B10" s="7" t="s">
        <v>263</v>
      </c>
      <c r="C10" s="29" t="n">
        <f aca="false">Capacity!$C$13</f>
        <v>90</v>
      </c>
      <c r="D10" s="9"/>
    </row>
    <row r="11" customFormat="false" ht="15" hidden="false" customHeight="true" outlineLevel="0" collapsed="false">
      <c r="B11" s="7" t="s">
        <v>264</v>
      </c>
      <c r="C11" s="29" t="n">
        <f aca="false">Capacity!$D$13+Capacity!$E$13</f>
        <v>260</v>
      </c>
      <c r="D11" s="9"/>
    </row>
    <row r="12" customFormat="false" ht="15" hidden="false" customHeight="true" outlineLevel="0" collapsed="false">
      <c r="B12" s="4" t="s">
        <v>265</v>
      </c>
      <c r="C12" s="36" t="n">
        <f aca="false">C10+C11</f>
        <v>350</v>
      </c>
      <c r="D12" s="9"/>
    </row>
    <row r="14" customFormat="false" ht="15" hidden="false" customHeight="true" outlineLevel="0" collapsed="false">
      <c r="B14" s="12" t="s">
        <v>266</v>
      </c>
      <c r="C14" s="13"/>
      <c r="D14" s="13"/>
      <c r="E14" s="13"/>
    </row>
    <row r="15" customFormat="false" ht="15" hidden="false" customHeight="true" outlineLevel="0" collapsed="false">
      <c r="B15" s="7" t="s">
        <v>267</v>
      </c>
      <c r="C15" s="40" t="n">
        <f aca="false">C10*Inputs!$C$35+C11*Inputs!$C$34</f>
        <v>4470</v>
      </c>
      <c r="D15" s="9" t="s">
        <v>268</v>
      </c>
    </row>
    <row r="16" customFormat="false" ht="15" hidden="false" customHeight="true" outlineLevel="0" collapsed="false">
      <c r="B16" s="4" t="s">
        <v>269</v>
      </c>
      <c r="C16" s="41" t="n">
        <f aca="false">C10*C7+C11*C6</f>
        <v>3756.3025210084</v>
      </c>
      <c r="D16" s="9" t="s">
        <v>270</v>
      </c>
    </row>
    <row r="17" customFormat="false" ht="15" hidden="false" customHeight="true" outlineLevel="0" collapsed="false">
      <c r="B17" s="7" t="s">
        <v>271</v>
      </c>
      <c r="C17" s="40" t="n">
        <f aca="false">C12*Inputs!$C$52+C15*Inputs!$C$53</f>
        <v>233.803</v>
      </c>
      <c r="D17" s="9" t="s">
        <v>272</v>
      </c>
    </row>
    <row r="18" customFormat="false" ht="15" hidden="false" customHeight="true" outlineLevel="0" collapsed="false">
      <c r="B18" s="7" t="s">
        <v>273</v>
      </c>
      <c r="C18" s="30" t="n">
        <f aca="false">OPEX!$C$12</f>
        <v>1558.25</v>
      </c>
      <c r="D18" s="9" t="s">
        <v>274</v>
      </c>
    </row>
    <row r="19" customFormat="false" ht="15" hidden="false" customHeight="true" outlineLevel="0" collapsed="false">
      <c r="B19" s="4" t="s">
        <v>275</v>
      </c>
      <c r="C19" s="42" t="n">
        <f aca="false">C16-C17-C18</f>
        <v>1964.2495210084</v>
      </c>
      <c r="D19" s="9" t="s">
        <v>276</v>
      </c>
    </row>
    <row r="21" customFormat="false" ht="15" hidden="false" customHeight="true" outlineLevel="0" collapsed="false">
      <c r="B21" s="12" t="s">
        <v>277</v>
      </c>
      <c r="C21" s="13"/>
      <c r="D21" s="13"/>
      <c r="E21" s="13"/>
    </row>
    <row r="22" customFormat="false" ht="15" hidden="false" customHeight="true" outlineLevel="0" collapsed="false">
      <c r="B22" s="7" t="s">
        <v>278</v>
      </c>
      <c r="C22" s="40" t="n">
        <f aca="false">C16/C12</f>
        <v>10.7322929171669</v>
      </c>
      <c r="D22" s="9"/>
    </row>
    <row r="23" customFormat="false" ht="15" hidden="false" customHeight="true" outlineLevel="0" collapsed="false">
      <c r="B23" s="7" t="s">
        <v>279</v>
      </c>
      <c r="C23" s="40" t="n">
        <f aca="false">C17/C12</f>
        <v>0.668008571428571</v>
      </c>
      <c r="D23" s="9"/>
    </row>
    <row r="24" customFormat="false" ht="15" hidden="false" customHeight="true" outlineLevel="0" collapsed="false">
      <c r="B24" s="7" t="s">
        <v>280</v>
      </c>
      <c r="C24" s="40" t="n">
        <f aca="false">C22-C23</f>
        <v>10.0642843457383</v>
      </c>
      <c r="D24" s="9" t="s">
        <v>281</v>
      </c>
    </row>
    <row r="25" customFormat="false" ht="15" hidden="false" customHeight="true" outlineLevel="0" collapsed="false">
      <c r="B25" s="4" t="s">
        <v>282</v>
      </c>
      <c r="C25" s="36" t="n">
        <f aca="false">C18/C24</f>
        <v>154.829687483923</v>
      </c>
      <c r="D25" s="9" t="s">
        <v>283</v>
      </c>
    </row>
    <row r="26" customFormat="false" ht="15" hidden="false" customHeight="true" outlineLevel="0" collapsed="false">
      <c r="B26" s="4" t="s">
        <v>284</v>
      </c>
      <c r="C26" s="43" t="n">
        <f aca="false">C25/C12</f>
        <v>0.442370535668352</v>
      </c>
      <c r="D26" s="9" t="s">
        <v>285</v>
      </c>
    </row>
    <row r="27" customFormat="false" ht="15" hidden="false" customHeight="true" outlineLevel="0" collapsed="false">
      <c r="B27" s="7" t="s">
        <v>286</v>
      </c>
      <c r="C27" s="34" t="n">
        <f aca="false">CAPEX!$E$13/C19</f>
        <v>32.6511470737559</v>
      </c>
      <c r="D27" s="9" t="s">
        <v>287</v>
      </c>
    </row>
    <row r="29" customFormat="false" ht="15" hidden="false" customHeight="true" outlineLevel="0" collapsed="false">
      <c r="B29" s="12" t="s">
        <v>288</v>
      </c>
      <c r="C29" s="13"/>
      <c r="D29" s="13"/>
      <c r="E29" s="13"/>
    </row>
    <row r="30" customFormat="false" ht="15" hidden="false" customHeight="true" outlineLevel="0" collapsed="false">
      <c r="B30" s="7" t="s">
        <v>289</v>
      </c>
      <c r="C30" s="34" t="n">
        <f aca="false">C12*Inputs!$C$54</f>
        <v>45.5</v>
      </c>
      <c r="D30" s="9" t="s">
        <v>290</v>
      </c>
    </row>
    <row r="31" customFormat="false" ht="15" hidden="false" customHeight="true" outlineLevel="0" collapsed="false">
      <c r="B31" s="7" t="s">
        <v>291</v>
      </c>
      <c r="C31" s="34" t="n">
        <f aca="false">C30*Inputs!$C$55/60</f>
        <v>22.75</v>
      </c>
      <c r="D31" s="9"/>
    </row>
    <row r="32" customFormat="false" ht="15" hidden="false" customHeight="true" outlineLevel="0" collapsed="false">
      <c r="B32" s="7" t="s">
        <v>292</v>
      </c>
      <c r="C32" s="33" t="n">
        <f aca="false">Inputs!$C$56</f>
        <v>35</v>
      </c>
      <c r="D32" s="9" t="s">
        <v>293</v>
      </c>
    </row>
    <row r="33" customFormat="false" ht="15" hidden="false" customHeight="true" outlineLevel="0" collapsed="false">
      <c r="B33" s="4" t="s">
        <v>294</v>
      </c>
      <c r="C33" s="44" t="n">
        <f aca="false">C31+C32</f>
        <v>57.75</v>
      </c>
      <c r="D33" s="9"/>
    </row>
    <row r="34" customFormat="false" ht="21.75" hidden="false" customHeight="true" outlineLevel="0" collapsed="false">
      <c r="B34" s="4" t="s">
        <v>295</v>
      </c>
      <c r="C34" s="42" t="n">
        <f aca="false">C19/C33</f>
        <v>34.0129787187602</v>
      </c>
      <c r="D34" s="9" t="s">
        <v>296</v>
      </c>
    </row>
    <row r="36" customFormat="false" ht="15" hidden="false" customHeight="true" outlineLevel="0" collapsed="false">
      <c r="B36" s="12" t="s">
        <v>297</v>
      </c>
      <c r="C36" s="13"/>
      <c r="D36" s="13"/>
      <c r="E36" s="13"/>
    </row>
    <row r="37" customFormat="false" ht="15" hidden="false" customHeight="true" outlineLevel="0" collapsed="false">
      <c r="B37" s="7" t="s">
        <v>298</v>
      </c>
      <c r="C37" s="30" t="n">
        <f aca="false">C16</f>
        <v>3756.3025210084</v>
      </c>
      <c r="D37" s="9" t="s">
        <v>299</v>
      </c>
    </row>
    <row r="38" customFormat="false" ht="21.75" hidden="false" customHeight="true" outlineLevel="0" collapsed="false">
      <c r="B38" s="7" t="s">
        <v>300</v>
      </c>
      <c r="C38" s="40" t="n">
        <f aca="false">Inputs!$C$24+OPEX!$C$7+Inputs!$C$60+Inputs!$C$29+Inputs!$C$61</f>
        <v>908.25</v>
      </c>
      <c r="D38" s="9" t="s">
        <v>301</v>
      </c>
    </row>
    <row r="39" customFormat="false" ht="15" hidden="false" customHeight="true" outlineLevel="0" collapsed="false">
      <c r="B39" s="7" t="s">
        <v>302</v>
      </c>
      <c r="C39" s="30" t="n">
        <f aca="false">C17</f>
        <v>233.803</v>
      </c>
      <c r="D39" s="9"/>
    </row>
    <row r="40" customFormat="false" ht="15" hidden="false" customHeight="true" outlineLevel="0" collapsed="false">
      <c r="B40" s="4" t="s">
        <v>303</v>
      </c>
      <c r="C40" s="41" t="n">
        <f aca="false">C37-C38-C39</f>
        <v>2614.2495210084</v>
      </c>
      <c r="D40" s="9" t="s">
        <v>304</v>
      </c>
    </row>
    <row r="41" customFormat="false" ht="15" hidden="false" customHeight="true" outlineLevel="0" collapsed="false">
      <c r="B41" s="4" t="s">
        <v>305</v>
      </c>
      <c r="C41" s="42" t="n">
        <f aca="false">C19+C40</f>
        <v>4578.49904201681</v>
      </c>
      <c r="D41" s="9"/>
    </row>
    <row r="42" customFormat="false" ht="15" hidden="false" customHeight="true" outlineLevel="0" collapsed="false">
      <c r="B42" s="7" t="s">
        <v>306</v>
      </c>
      <c r="C42" s="34" t="n">
        <f aca="false">C30*2</f>
        <v>91</v>
      </c>
      <c r="D42" s="9" t="s">
        <v>307</v>
      </c>
    </row>
    <row r="45" customFormat="false" ht="15" hidden="false" customHeight="true" outlineLevel="0" collapsed="false">
      <c r="B45" s="10" t="s">
        <v>52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J8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9"/>
    <col collapsed="false" customWidth="true" hidden="false" outlineLevel="0" max="3" min="3" style="1" width="12"/>
    <col collapsed="false" customWidth="true" hidden="false" outlineLevel="0" max="4" min="4" style="1" width="11"/>
    <col collapsed="false" customWidth="true" hidden="false" outlineLevel="0" max="10" min="5" style="1" width="16"/>
  </cols>
  <sheetData>
    <row r="2" customFormat="false" ht="17.25" hidden="false" customHeight="true" outlineLevel="0" collapsed="false">
      <c r="B2" s="2" t="s">
        <v>308</v>
      </c>
    </row>
    <row r="3" customFormat="false" ht="15" hidden="false" customHeight="true" outlineLevel="0" collapsed="false">
      <c r="B3" s="3" t="s">
        <v>309</v>
      </c>
    </row>
    <row r="5" customFormat="false" ht="23.25" hidden="false" customHeight="true" outlineLevel="0" collapsed="false">
      <c r="B5" s="45" t="s">
        <v>310</v>
      </c>
      <c r="C5" s="45" t="s">
        <v>311</v>
      </c>
      <c r="D5" s="45" t="s">
        <v>312</v>
      </c>
      <c r="E5" s="45" t="s">
        <v>269</v>
      </c>
      <c r="F5" s="45" t="s">
        <v>39</v>
      </c>
      <c r="G5" s="45" t="s">
        <v>273</v>
      </c>
      <c r="H5" s="45" t="s">
        <v>313</v>
      </c>
      <c r="I5" s="45" t="s">
        <v>314</v>
      </c>
      <c r="J5" s="45" t="s">
        <v>315</v>
      </c>
    </row>
    <row r="6" customFormat="false" ht="15" hidden="false" customHeight="true" outlineLevel="0" collapsed="false">
      <c r="B6" s="25" t="n">
        <v>1</v>
      </c>
      <c r="C6" s="37" t="n">
        <f aca="false">MIN(1,B6/Inputs!$C$57)</f>
        <v>0.0416666666666667</v>
      </c>
      <c r="D6" s="25" t="n">
        <f aca="false">ROUND(C6*PnL!$C$12,0)</f>
        <v>15</v>
      </c>
      <c r="E6" s="24" t="n">
        <f aca="false">D6*PnL!$C$22</f>
        <v>160.984393757503</v>
      </c>
      <c r="F6" s="24" t="n">
        <f aca="false">D6*PnL!$C$23</f>
        <v>10.0201285714286</v>
      </c>
      <c r="G6" s="23" t="n">
        <f aca="false">OPEX!$C$12</f>
        <v>1558.25</v>
      </c>
      <c r="H6" s="24" t="n">
        <f aca="false">E6-F6-G6</f>
        <v>-1407.28573481393</v>
      </c>
      <c r="I6" s="24" t="n">
        <f aca="false">H6</f>
        <v>-1407.28573481393</v>
      </c>
      <c r="J6" s="24" t="n">
        <f aca="false">I6-CAPEX!$E$13</f>
        <v>-65542.2857348139</v>
      </c>
    </row>
    <row r="7" customFormat="false" ht="15" hidden="false" customHeight="true" outlineLevel="0" collapsed="false">
      <c r="B7" s="25" t="n">
        <v>2</v>
      </c>
      <c r="C7" s="37" t="n">
        <f aca="false">MIN(1,B7/Inputs!$C$57)</f>
        <v>0.0833333333333333</v>
      </c>
      <c r="D7" s="25" t="n">
        <f aca="false">ROUND(C7*PnL!$C$12,0)</f>
        <v>29</v>
      </c>
      <c r="E7" s="24" t="n">
        <f aca="false">D7*PnL!$C$22</f>
        <v>311.236494597839</v>
      </c>
      <c r="F7" s="24" t="n">
        <f aca="false">D7*PnL!$C$23</f>
        <v>19.3722485714286</v>
      </c>
      <c r="G7" s="23" t="n">
        <f aca="false">OPEX!$C$12</f>
        <v>1558.25</v>
      </c>
      <c r="H7" s="24" t="n">
        <f aca="false">E7-F7-G7</f>
        <v>-1266.38575397359</v>
      </c>
      <c r="I7" s="24" t="n">
        <f aca="false">I6+H7</f>
        <v>-2673.67148878752</v>
      </c>
      <c r="J7" s="24" t="n">
        <f aca="false">I7-CAPEX!$E$13</f>
        <v>-66808.6714887875</v>
      </c>
    </row>
    <row r="8" customFormat="false" ht="15" hidden="false" customHeight="true" outlineLevel="0" collapsed="false">
      <c r="B8" s="25" t="n">
        <v>3</v>
      </c>
      <c r="C8" s="37" t="n">
        <f aca="false">MIN(1,B8/Inputs!$C$57)</f>
        <v>0.125</v>
      </c>
      <c r="D8" s="25" t="n">
        <f aca="false">ROUND(C8*PnL!$C$12,0)</f>
        <v>44</v>
      </c>
      <c r="E8" s="24" t="n">
        <f aca="false">D8*PnL!$C$22</f>
        <v>472.220888355342</v>
      </c>
      <c r="F8" s="24" t="n">
        <f aca="false">D8*PnL!$C$23</f>
        <v>29.3923771428571</v>
      </c>
      <c r="G8" s="23" t="n">
        <f aca="false">OPEX!$C$12</f>
        <v>1558.25</v>
      </c>
      <c r="H8" s="24" t="n">
        <f aca="false">E8-F8-G8</f>
        <v>-1115.42148878752</v>
      </c>
      <c r="I8" s="24" t="n">
        <f aca="false">I7+H8</f>
        <v>-3789.09297757503</v>
      </c>
      <c r="J8" s="24" t="n">
        <f aca="false">I8-CAPEX!$E$13</f>
        <v>-67924.092977575</v>
      </c>
    </row>
    <row r="9" customFormat="false" ht="15" hidden="false" customHeight="true" outlineLevel="0" collapsed="false">
      <c r="B9" s="25" t="n">
        <v>4</v>
      </c>
      <c r="C9" s="37" t="n">
        <f aca="false">MIN(1,B9/Inputs!$C$57)</f>
        <v>0.166666666666667</v>
      </c>
      <c r="D9" s="25" t="n">
        <f aca="false">ROUND(C9*PnL!$C$12,0)</f>
        <v>58</v>
      </c>
      <c r="E9" s="24" t="n">
        <f aca="false">D9*PnL!$C$22</f>
        <v>622.472989195678</v>
      </c>
      <c r="F9" s="24" t="n">
        <f aca="false">D9*PnL!$C$23</f>
        <v>38.7444971428571</v>
      </c>
      <c r="G9" s="23" t="n">
        <f aca="false">OPEX!$C$12</f>
        <v>1558.25</v>
      </c>
      <c r="H9" s="24" t="n">
        <f aca="false">E9-F9-G9</f>
        <v>-974.521507947179</v>
      </c>
      <c r="I9" s="24" t="n">
        <f aca="false">I8+H9</f>
        <v>-4763.61448552221</v>
      </c>
      <c r="J9" s="24" t="n">
        <f aca="false">I9-CAPEX!$E$13</f>
        <v>-68898.6144855222</v>
      </c>
    </row>
    <row r="10" customFormat="false" ht="15" hidden="false" customHeight="true" outlineLevel="0" collapsed="false">
      <c r="B10" s="25" t="n">
        <v>5</v>
      </c>
      <c r="C10" s="37" t="n">
        <f aca="false">MIN(1,B10/Inputs!$C$57)</f>
        <v>0.208333333333333</v>
      </c>
      <c r="D10" s="25" t="n">
        <f aca="false">ROUND(C10*PnL!$C$12,0)</f>
        <v>73</v>
      </c>
      <c r="E10" s="24" t="n">
        <f aca="false">D10*PnL!$C$22</f>
        <v>783.457382953181</v>
      </c>
      <c r="F10" s="24" t="n">
        <f aca="false">D10*PnL!$C$23</f>
        <v>48.7646257142857</v>
      </c>
      <c r="G10" s="23" t="n">
        <f aca="false">OPEX!$C$12</f>
        <v>1558.25</v>
      </c>
      <c r="H10" s="24" t="n">
        <f aca="false">E10-F10-G10</f>
        <v>-823.557242761105</v>
      </c>
      <c r="I10" s="24" t="n">
        <f aca="false">I9+H10</f>
        <v>-5587.17172828331</v>
      </c>
      <c r="J10" s="24" t="n">
        <f aca="false">I10-CAPEX!$E$13</f>
        <v>-69722.1717282833</v>
      </c>
    </row>
    <row r="11" customFormat="false" ht="15" hidden="false" customHeight="true" outlineLevel="0" collapsed="false">
      <c r="B11" s="25" t="n">
        <v>6</v>
      </c>
      <c r="C11" s="37" t="n">
        <f aca="false">MIN(1,B11/Inputs!$C$57)</f>
        <v>0.25</v>
      </c>
      <c r="D11" s="25" t="n">
        <f aca="false">ROUND(C11*PnL!$C$12,0)</f>
        <v>88</v>
      </c>
      <c r="E11" s="24" t="n">
        <f aca="false">D11*PnL!$C$22</f>
        <v>944.441776710684</v>
      </c>
      <c r="F11" s="24" t="n">
        <f aca="false">D11*PnL!$C$23</f>
        <v>58.7847542857143</v>
      </c>
      <c r="G11" s="23" t="n">
        <f aca="false">OPEX!$C$12</f>
        <v>1558.25</v>
      </c>
      <c r="H11" s="24" t="n">
        <f aca="false">E11-F11-G11</f>
        <v>-672.59297757503</v>
      </c>
      <c r="I11" s="24" t="n">
        <f aca="false">I10+H11</f>
        <v>-6259.76470585834</v>
      </c>
      <c r="J11" s="24" t="n">
        <f aca="false">I11-CAPEX!$E$13</f>
        <v>-70394.7647058583</v>
      </c>
    </row>
    <row r="12" customFormat="false" ht="15" hidden="false" customHeight="true" outlineLevel="0" collapsed="false">
      <c r="B12" s="25" t="n">
        <v>7</v>
      </c>
      <c r="C12" s="37" t="n">
        <f aca="false">MIN(1,B12/Inputs!$C$57)</f>
        <v>0.291666666666667</v>
      </c>
      <c r="D12" s="25" t="n">
        <f aca="false">ROUND(C12*PnL!$C$12,0)</f>
        <v>102</v>
      </c>
      <c r="E12" s="24" t="n">
        <f aca="false">D12*PnL!$C$22</f>
        <v>1094.69387755102</v>
      </c>
      <c r="F12" s="24" t="n">
        <f aca="false">D12*PnL!$C$23</f>
        <v>68.1368742857143</v>
      </c>
      <c r="G12" s="23" t="n">
        <f aca="false">OPEX!$C$12</f>
        <v>1558.25</v>
      </c>
      <c r="H12" s="24" t="n">
        <f aca="false">E12-F12-G12</f>
        <v>-531.692996734694</v>
      </c>
      <c r="I12" s="24" t="n">
        <f aca="false">I11+H12</f>
        <v>-6791.45770259304</v>
      </c>
      <c r="J12" s="24" t="n">
        <f aca="false">I12-CAPEX!$E$13</f>
        <v>-70926.457702593</v>
      </c>
    </row>
    <row r="13" customFormat="false" ht="15" hidden="false" customHeight="true" outlineLevel="0" collapsed="false">
      <c r="B13" s="25" t="n">
        <v>8</v>
      </c>
      <c r="C13" s="37" t="n">
        <f aca="false">MIN(1,B13/Inputs!$C$57)</f>
        <v>0.333333333333333</v>
      </c>
      <c r="D13" s="25" t="n">
        <f aca="false">ROUND(C13*PnL!$C$12,0)</f>
        <v>117</v>
      </c>
      <c r="E13" s="24" t="n">
        <f aca="false">D13*PnL!$C$22</f>
        <v>1255.67827130852</v>
      </c>
      <c r="F13" s="24" t="n">
        <f aca="false">D13*PnL!$C$23</f>
        <v>78.1570028571429</v>
      </c>
      <c r="G13" s="23" t="n">
        <f aca="false">OPEX!$C$12</f>
        <v>1558.25</v>
      </c>
      <c r="H13" s="24" t="n">
        <f aca="false">E13-F13-G13</f>
        <v>-380.72873154862</v>
      </c>
      <c r="I13" s="24" t="n">
        <f aca="false">I12+H13</f>
        <v>-7172.18643414166</v>
      </c>
      <c r="J13" s="24" t="n">
        <f aca="false">I13-CAPEX!$E$13</f>
        <v>-71307.1864341417</v>
      </c>
    </row>
    <row r="14" customFormat="false" ht="15" hidden="false" customHeight="true" outlineLevel="0" collapsed="false">
      <c r="B14" s="25" t="n">
        <v>9</v>
      </c>
      <c r="C14" s="37" t="n">
        <f aca="false">MIN(1,B14/Inputs!$C$57)</f>
        <v>0.375</v>
      </c>
      <c r="D14" s="25" t="n">
        <f aca="false">ROUND(C14*PnL!$C$12,0)</f>
        <v>131</v>
      </c>
      <c r="E14" s="24" t="n">
        <f aca="false">D14*PnL!$C$22</f>
        <v>1405.93037214886</v>
      </c>
      <c r="F14" s="24" t="n">
        <f aca="false">D14*PnL!$C$23</f>
        <v>87.5091228571429</v>
      </c>
      <c r="G14" s="23" t="n">
        <f aca="false">OPEX!$C$12</f>
        <v>1558.25</v>
      </c>
      <c r="H14" s="24" t="n">
        <f aca="false">E14-F14-G14</f>
        <v>-239.828750708283</v>
      </c>
      <c r="I14" s="24" t="n">
        <f aca="false">I13+H14</f>
        <v>-7412.01518484994</v>
      </c>
      <c r="J14" s="24" t="n">
        <f aca="false">I14-CAPEX!$E$13</f>
        <v>-71547.0151848499</v>
      </c>
    </row>
    <row r="15" customFormat="false" ht="15" hidden="false" customHeight="true" outlineLevel="0" collapsed="false">
      <c r="B15" s="25" t="n">
        <v>10</v>
      </c>
      <c r="C15" s="37" t="n">
        <f aca="false">MIN(1,B15/Inputs!$C$57)</f>
        <v>0.416666666666667</v>
      </c>
      <c r="D15" s="25" t="n">
        <f aca="false">ROUND(C15*PnL!$C$12,0)</f>
        <v>146</v>
      </c>
      <c r="E15" s="24" t="n">
        <f aca="false">D15*PnL!$C$22</f>
        <v>1566.91476590636</v>
      </c>
      <c r="F15" s="24" t="n">
        <f aca="false">D15*PnL!$C$23</f>
        <v>97.5292514285714</v>
      </c>
      <c r="G15" s="23" t="n">
        <f aca="false">OPEX!$C$12</f>
        <v>1558.25</v>
      </c>
      <c r="H15" s="24" t="n">
        <f aca="false">E15-F15-G15</f>
        <v>-88.864485522209</v>
      </c>
      <c r="I15" s="24" t="n">
        <f aca="false">I14+H15</f>
        <v>-7500.87967037215</v>
      </c>
      <c r="J15" s="24" t="n">
        <f aca="false">I15-CAPEX!$E$13</f>
        <v>-71635.8796703722</v>
      </c>
    </row>
    <row r="16" customFormat="false" ht="15" hidden="false" customHeight="true" outlineLevel="0" collapsed="false">
      <c r="B16" s="25" t="n">
        <v>11</v>
      </c>
      <c r="C16" s="37" t="n">
        <f aca="false">MIN(1,B16/Inputs!$C$57)</f>
        <v>0.458333333333333</v>
      </c>
      <c r="D16" s="25" t="n">
        <f aca="false">ROUND(C16*PnL!$C$12,0)</f>
        <v>160</v>
      </c>
      <c r="E16" s="24" t="n">
        <f aca="false">D16*PnL!$C$22</f>
        <v>1717.1668667467</v>
      </c>
      <c r="F16" s="24" t="n">
        <f aca="false">D16*PnL!$C$23</f>
        <v>106.881371428571</v>
      </c>
      <c r="G16" s="23" t="n">
        <f aca="false">OPEX!$C$12</f>
        <v>1558.25</v>
      </c>
      <c r="H16" s="24" t="n">
        <f aca="false">E16-F16-G16</f>
        <v>52.0354953181272</v>
      </c>
      <c r="I16" s="24" t="n">
        <f aca="false">I15+H16</f>
        <v>-7448.84417505402</v>
      </c>
      <c r="J16" s="24" t="n">
        <f aca="false">I16-CAPEX!$E$13</f>
        <v>-71583.844175054</v>
      </c>
    </row>
    <row r="17" customFormat="false" ht="15" hidden="false" customHeight="true" outlineLevel="0" collapsed="false">
      <c r="B17" s="25" t="n">
        <v>12</v>
      </c>
      <c r="C17" s="37" t="n">
        <f aca="false">MIN(1,B17/Inputs!$C$57)</f>
        <v>0.5</v>
      </c>
      <c r="D17" s="25" t="n">
        <f aca="false">ROUND(C17*PnL!$C$12,0)</f>
        <v>175</v>
      </c>
      <c r="E17" s="24" t="n">
        <f aca="false">D17*PnL!$C$22</f>
        <v>1878.1512605042</v>
      </c>
      <c r="F17" s="24" t="n">
        <f aca="false">D17*PnL!$C$23</f>
        <v>116.9015</v>
      </c>
      <c r="G17" s="23" t="n">
        <f aca="false">OPEX!$C$12</f>
        <v>1558.25</v>
      </c>
      <c r="H17" s="24" t="n">
        <f aca="false">E17-F17-G17</f>
        <v>202.999760504202</v>
      </c>
      <c r="I17" s="24" t="n">
        <f aca="false">I16+H17</f>
        <v>-7245.84441454982</v>
      </c>
      <c r="J17" s="24" t="n">
        <f aca="false">I17-CAPEX!$E$13</f>
        <v>-71380.8444145498</v>
      </c>
    </row>
    <row r="18" customFormat="false" ht="15" hidden="false" customHeight="true" outlineLevel="0" collapsed="false">
      <c r="B18" s="25" t="n">
        <v>13</v>
      </c>
      <c r="C18" s="37" t="n">
        <f aca="false">MIN(1,B18/Inputs!$C$57)</f>
        <v>0.541666666666667</v>
      </c>
      <c r="D18" s="25" t="n">
        <f aca="false">ROUND(C18*PnL!$C$12,0)</f>
        <v>190</v>
      </c>
      <c r="E18" s="24" t="n">
        <f aca="false">D18*PnL!$C$22</f>
        <v>2039.1356542617</v>
      </c>
      <c r="F18" s="24" t="n">
        <f aca="false">D18*PnL!$C$23</f>
        <v>126.921628571429</v>
      </c>
      <c r="G18" s="23" t="n">
        <f aca="false">OPEX!$C$12</f>
        <v>1558.25</v>
      </c>
      <c r="H18" s="24" t="n">
        <f aca="false">E18-F18-G18</f>
        <v>353.964025690276</v>
      </c>
      <c r="I18" s="24" t="n">
        <f aca="false">I17+H18</f>
        <v>-6891.88038885955</v>
      </c>
      <c r="J18" s="24" t="n">
        <f aca="false">I18-CAPEX!$E$13</f>
        <v>-71026.8803888595</v>
      </c>
    </row>
    <row r="19" customFormat="false" ht="15" hidden="false" customHeight="true" outlineLevel="0" collapsed="false">
      <c r="B19" s="25" t="n">
        <v>14</v>
      </c>
      <c r="C19" s="37" t="n">
        <f aca="false">MIN(1,B19/Inputs!$C$57)</f>
        <v>0.583333333333333</v>
      </c>
      <c r="D19" s="25" t="n">
        <f aca="false">ROUND(C19*PnL!$C$12,0)</f>
        <v>204</v>
      </c>
      <c r="E19" s="24" t="n">
        <f aca="false">D19*PnL!$C$22</f>
        <v>2189.38775510204</v>
      </c>
      <c r="F19" s="24" t="n">
        <f aca="false">D19*PnL!$C$23</f>
        <v>136.273748571429</v>
      </c>
      <c r="G19" s="23" t="n">
        <f aca="false">OPEX!$C$12</f>
        <v>1558.25</v>
      </c>
      <c r="H19" s="24" t="n">
        <f aca="false">E19-F19-G19</f>
        <v>494.864006530612</v>
      </c>
      <c r="I19" s="24" t="n">
        <f aca="false">I18+H19</f>
        <v>-6397.01638232893</v>
      </c>
      <c r="J19" s="24" t="n">
        <f aca="false">I19-CAPEX!$E$13</f>
        <v>-70532.0163823289</v>
      </c>
    </row>
    <row r="20" customFormat="false" ht="15" hidden="false" customHeight="true" outlineLevel="0" collapsed="false">
      <c r="B20" s="25" t="n">
        <v>15</v>
      </c>
      <c r="C20" s="37" t="n">
        <f aca="false">MIN(1,B20/Inputs!$C$57)</f>
        <v>0.625</v>
      </c>
      <c r="D20" s="25" t="n">
        <f aca="false">ROUND(C20*PnL!$C$12,0)</f>
        <v>219</v>
      </c>
      <c r="E20" s="24" t="n">
        <f aca="false">D20*PnL!$C$22</f>
        <v>2350.37214885954</v>
      </c>
      <c r="F20" s="24" t="n">
        <f aca="false">D20*PnL!$C$23</f>
        <v>146.293877142857</v>
      </c>
      <c r="G20" s="23" t="n">
        <f aca="false">OPEX!$C$12</f>
        <v>1558.25</v>
      </c>
      <c r="H20" s="24" t="n">
        <f aca="false">E20-F20-G20</f>
        <v>645.828271716687</v>
      </c>
      <c r="I20" s="24" t="n">
        <f aca="false">I19+H20</f>
        <v>-5751.18811061225</v>
      </c>
      <c r="J20" s="24" t="n">
        <f aca="false">I20-CAPEX!$E$13</f>
        <v>-69886.1881106123</v>
      </c>
    </row>
    <row r="21" customFormat="false" ht="15" hidden="false" customHeight="true" outlineLevel="0" collapsed="false">
      <c r="B21" s="25" t="n">
        <v>16</v>
      </c>
      <c r="C21" s="37" t="n">
        <f aca="false">MIN(1,B21/Inputs!$C$57)</f>
        <v>0.666666666666667</v>
      </c>
      <c r="D21" s="25" t="n">
        <f aca="false">ROUND(C21*PnL!$C$12,0)</f>
        <v>233</v>
      </c>
      <c r="E21" s="24" t="n">
        <f aca="false">D21*PnL!$C$22</f>
        <v>2500.62424969988</v>
      </c>
      <c r="F21" s="24" t="n">
        <f aca="false">D21*PnL!$C$23</f>
        <v>155.645997142857</v>
      </c>
      <c r="G21" s="23" t="n">
        <f aca="false">OPEX!$C$12</f>
        <v>1558.25</v>
      </c>
      <c r="H21" s="24" t="n">
        <f aca="false">E21-F21-G21</f>
        <v>786.728252557023</v>
      </c>
      <c r="I21" s="24" t="n">
        <f aca="false">I20+H21</f>
        <v>-4964.45985805522</v>
      </c>
      <c r="J21" s="24" t="n">
        <f aca="false">I21-CAPEX!$E$13</f>
        <v>-69099.4598580552</v>
      </c>
    </row>
    <row r="22" customFormat="false" ht="15" hidden="false" customHeight="true" outlineLevel="0" collapsed="false">
      <c r="B22" s="25" t="n">
        <v>17</v>
      </c>
      <c r="C22" s="37" t="n">
        <f aca="false">MIN(1,B22/Inputs!$C$57)</f>
        <v>0.708333333333333</v>
      </c>
      <c r="D22" s="25" t="n">
        <f aca="false">ROUND(C22*PnL!$C$12,0)</f>
        <v>248</v>
      </c>
      <c r="E22" s="24" t="n">
        <f aca="false">D22*PnL!$C$22</f>
        <v>2661.60864345738</v>
      </c>
      <c r="F22" s="24" t="n">
        <f aca="false">D22*PnL!$C$23</f>
        <v>165.666125714286</v>
      </c>
      <c r="G22" s="23" t="n">
        <f aca="false">OPEX!$C$12</f>
        <v>1558.25</v>
      </c>
      <c r="H22" s="24" t="n">
        <f aca="false">E22-F22-G22</f>
        <v>937.692517743097</v>
      </c>
      <c r="I22" s="24" t="n">
        <f aca="false">I21+H22</f>
        <v>-4026.76734031213</v>
      </c>
      <c r="J22" s="24" t="n">
        <f aca="false">I22-CAPEX!$E$13</f>
        <v>-68161.7673403121</v>
      </c>
    </row>
    <row r="23" customFormat="false" ht="15" hidden="false" customHeight="true" outlineLevel="0" collapsed="false">
      <c r="B23" s="25" t="n">
        <v>18</v>
      </c>
      <c r="C23" s="37" t="n">
        <f aca="false">MIN(1,B23/Inputs!$C$57)</f>
        <v>0.75</v>
      </c>
      <c r="D23" s="25" t="n">
        <f aca="false">ROUND(C23*PnL!$C$12,0)</f>
        <v>263</v>
      </c>
      <c r="E23" s="24" t="n">
        <f aca="false">D23*PnL!$C$22</f>
        <v>2822.59303721489</v>
      </c>
      <c r="F23" s="24" t="n">
        <f aca="false">D23*PnL!$C$23</f>
        <v>175.686254285714</v>
      </c>
      <c r="G23" s="23" t="n">
        <f aca="false">OPEX!$C$12</f>
        <v>1558.25</v>
      </c>
      <c r="H23" s="24" t="n">
        <f aca="false">E23-F23-G23</f>
        <v>1088.65678292917</v>
      </c>
      <c r="I23" s="24" t="n">
        <f aca="false">I22+H23</f>
        <v>-2938.11055738296</v>
      </c>
      <c r="J23" s="24" t="n">
        <f aca="false">I23-CAPEX!$E$13</f>
        <v>-67073.110557383</v>
      </c>
    </row>
    <row r="24" customFormat="false" ht="15" hidden="false" customHeight="true" outlineLevel="0" collapsed="false">
      <c r="B24" s="25" t="n">
        <v>19</v>
      </c>
      <c r="C24" s="37" t="n">
        <f aca="false">MIN(1,B24/Inputs!$C$57)</f>
        <v>0.791666666666667</v>
      </c>
      <c r="D24" s="25" t="n">
        <f aca="false">ROUND(C24*PnL!$C$12,0)</f>
        <v>277</v>
      </c>
      <c r="E24" s="24" t="n">
        <f aca="false">D24*PnL!$C$22</f>
        <v>2972.84513805522</v>
      </c>
      <c r="F24" s="24" t="n">
        <f aca="false">D24*PnL!$C$23</f>
        <v>185.038374285714</v>
      </c>
      <c r="G24" s="23" t="n">
        <f aca="false">OPEX!$C$12</f>
        <v>1558.25</v>
      </c>
      <c r="H24" s="24" t="n">
        <f aca="false">E24-F24-G24</f>
        <v>1229.55676376951</v>
      </c>
      <c r="I24" s="24" t="n">
        <f aca="false">I23+H24</f>
        <v>-1708.55379361345</v>
      </c>
      <c r="J24" s="24" t="n">
        <f aca="false">I24-CAPEX!$E$13</f>
        <v>-65843.5537936135</v>
      </c>
    </row>
    <row r="25" customFormat="false" ht="15" hidden="false" customHeight="true" outlineLevel="0" collapsed="false">
      <c r="B25" s="25" t="n">
        <v>20</v>
      </c>
      <c r="C25" s="37" t="n">
        <f aca="false">MIN(1,B25/Inputs!$C$57)</f>
        <v>0.833333333333333</v>
      </c>
      <c r="D25" s="25" t="n">
        <f aca="false">ROUND(C25*PnL!$C$12,0)</f>
        <v>292</v>
      </c>
      <c r="E25" s="24" t="n">
        <f aca="false">D25*PnL!$C$22</f>
        <v>3133.82953181273</v>
      </c>
      <c r="F25" s="24" t="n">
        <f aca="false">D25*PnL!$C$23</f>
        <v>195.058502857143</v>
      </c>
      <c r="G25" s="23" t="n">
        <f aca="false">OPEX!$C$12</f>
        <v>1558.25</v>
      </c>
      <c r="H25" s="24" t="n">
        <f aca="false">E25-F25-G25</f>
        <v>1380.52102895558</v>
      </c>
      <c r="I25" s="24" t="n">
        <f aca="false">I24+H25</f>
        <v>-328.032764657865</v>
      </c>
      <c r="J25" s="24" t="n">
        <f aca="false">I25-CAPEX!$E$13</f>
        <v>-64463.0327646579</v>
      </c>
    </row>
    <row r="26" customFormat="false" ht="15" hidden="false" customHeight="true" outlineLevel="0" collapsed="false">
      <c r="B26" s="25" t="n">
        <v>21</v>
      </c>
      <c r="C26" s="37" t="n">
        <f aca="false">MIN(1,B26/Inputs!$C$57)</f>
        <v>0.875</v>
      </c>
      <c r="D26" s="25" t="n">
        <f aca="false">ROUND(C26*PnL!$C$12,0)</f>
        <v>306</v>
      </c>
      <c r="E26" s="24" t="n">
        <f aca="false">D26*PnL!$C$22</f>
        <v>3284.08163265306</v>
      </c>
      <c r="F26" s="24" t="n">
        <f aca="false">D26*PnL!$C$23</f>
        <v>204.410622857143</v>
      </c>
      <c r="G26" s="23" t="n">
        <f aca="false">OPEX!$C$12</f>
        <v>1558.25</v>
      </c>
      <c r="H26" s="24" t="n">
        <f aca="false">E26-F26-G26</f>
        <v>1521.42100979592</v>
      </c>
      <c r="I26" s="24" t="n">
        <f aca="false">I25+H26</f>
        <v>1193.38824513805</v>
      </c>
      <c r="J26" s="24" t="n">
        <f aca="false">I26-CAPEX!$E$13</f>
        <v>-62941.6117548619</v>
      </c>
    </row>
    <row r="27" customFormat="false" ht="15" hidden="false" customHeight="true" outlineLevel="0" collapsed="false">
      <c r="B27" s="25" t="n">
        <v>22</v>
      </c>
      <c r="C27" s="37" t="n">
        <f aca="false">MIN(1,B27/Inputs!$C$57)</f>
        <v>0.916666666666667</v>
      </c>
      <c r="D27" s="25" t="n">
        <f aca="false">ROUND(C27*PnL!$C$12,0)</f>
        <v>321</v>
      </c>
      <c r="E27" s="24" t="n">
        <f aca="false">D27*PnL!$C$22</f>
        <v>3445.06602641056</v>
      </c>
      <c r="F27" s="24" t="n">
        <f aca="false">D27*PnL!$C$23</f>
        <v>214.430751428571</v>
      </c>
      <c r="G27" s="23" t="n">
        <f aca="false">OPEX!$C$12</f>
        <v>1558.25</v>
      </c>
      <c r="H27" s="24" t="n">
        <f aca="false">E27-F27-G27</f>
        <v>1672.38527498199</v>
      </c>
      <c r="I27" s="24" t="n">
        <f aca="false">I26+H27</f>
        <v>2865.77352012005</v>
      </c>
      <c r="J27" s="24" t="n">
        <f aca="false">I27-CAPEX!$E$13</f>
        <v>-61269.22647988</v>
      </c>
    </row>
    <row r="28" customFormat="false" ht="15" hidden="false" customHeight="true" outlineLevel="0" collapsed="false">
      <c r="B28" s="25" t="n">
        <v>23</v>
      </c>
      <c r="C28" s="37" t="n">
        <f aca="false">MIN(1,B28/Inputs!$C$57)</f>
        <v>0.958333333333333</v>
      </c>
      <c r="D28" s="25" t="n">
        <f aca="false">ROUND(C28*PnL!$C$12,0)</f>
        <v>335</v>
      </c>
      <c r="E28" s="24" t="n">
        <f aca="false">D28*PnL!$C$22</f>
        <v>3595.3181272509</v>
      </c>
      <c r="F28" s="24" t="n">
        <f aca="false">D28*PnL!$C$23</f>
        <v>223.782871428571</v>
      </c>
      <c r="G28" s="23" t="n">
        <f aca="false">OPEX!$C$12</f>
        <v>1558.25</v>
      </c>
      <c r="H28" s="24" t="n">
        <f aca="false">E28-F28-G28</f>
        <v>1813.28525582233</v>
      </c>
      <c r="I28" s="24" t="n">
        <f aca="false">I27+H28</f>
        <v>4679.05877594237</v>
      </c>
      <c r="J28" s="24" t="n">
        <f aca="false">I28-CAPEX!$E$13</f>
        <v>-59455.9412240576</v>
      </c>
    </row>
    <row r="29" customFormat="false" ht="15" hidden="false" customHeight="true" outlineLevel="0" collapsed="false">
      <c r="B29" s="25" t="n">
        <v>24</v>
      </c>
      <c r="C29" s="37" t="n">
        <f aca="false">MIN(1,B29/Inputs!$C$57)</f>
        <v>1</v>
      </c>
      <c r="D29" s="25" t="n">
        <f aca="false">ROUND(C29*PnL!$C$12,0)</f>
        <v>350</v>
      </c>
      <c r="E29" s="24" t="n">
        <f aca="false">D29*PnL!$C$22</f>
        <v>3756.3025210084</v>
      </c>
      <c r="F29" s="24" t="n">
        <f aca="false">D29*PnL!$C$23</f>
        <v>233.803</v>
      </c>
      <c r="G29" s="23" t="n">
        <f aca="false">OPEX!$C$12</f>
        <v>1558.25</v>
      </c>
      <c r="H29" s="24" t="n">
        <f aca="false">E29-F29-G29</f>
        <v>1964.2495210084</v>
      </c>
      <c r="I29" s="24" t="n">
        <f aca="false">I28+H29</f>
        <v>6643.30829695078</v>
      </c>
      <c r="J29" s="24" t="n">
        <f aca="false">I29-CAPEX!$E$13</f>
        <v>-57491.6917030492</v>
      </c>
    </row>
    <row r="30" customFormat="false" ht="15" hidden="false" customHeight="true" outlineLevel="0" collapsed="false">
      <c r="B30" s="25" t="n">
        <v>25</v>
      </c>
      <c r="C30" s="37" t="n">
        <f aca="false">MIN(1,B30/Inputs!$C$57)</f>
        <v>1</v>
      </c>
      <c r="D30" s="25" t="n">
        <f aca="false">ROUND(C30*PnL!$C$12,0)</f>
        <v>350</v>
      </c>
      <c r="E30" s="24" t="n">
        <f aca="false">D30*PnL!$C$22</f>
        <v>3756.3025210084</v>
      </c>
      <c r="F30" s="24" t="n">
        <f aca="false">D30*PnL!$C$23</f>
        <v>233.803</v>
      </c>
      <c r="G30" s="23" t="n">
        <f aca="false">OPEX!$C$12</f>
        <v>1558.25</v>
      </c>
      <c r="H30" s="24" t="n">
        <f aca="false">E30-F30-G30</f>
        <v>1964.2495210084</v>
      </c>
      <c r="I30" s="24" t="n">
        <f aca="false">I29+H30</f>
        <v>8607.55781795918</v>
      </c>
      <c r="J30" s="24" t="n">
        <f aca="false">I30-CAPEX!$E$13</f>
        <v>-55527.4421820408</v>
      </c>
    </row>
    <row r="31" customFormat="false" ht="15" hidden="false" customHeight="true" outlineLevel="0" collapsed="false">
      <c r="B31" s="25" t="n">
        <v>26</v>
      </c>
      <c r="C31" s="37" t="n">
        <f aca="false">MIN(1,B31/Inputs!$C$57)</f>
        <v>1</v>
      </c>
      <c r="D31" s="25" t="n">
        <f aca="false">ROUND(C31*PnL!$C$12,0)</f>
        <v>350</v>
      </c>
      <c r="E31" s="24" t="n">
        <f aca="false">D31*PnL!$C$22</f>
        <v>3756.3025210084</v>
      </c>
      <c r="F31" s="24" t="n">
        <f aca="false">D31*PnL!$C$23</f>
        <v>233.803</v>
      </c>
      <c r="G31" s="23" t="n">
        <f aca="false">OPEX!$C$12</f>
        <v>1558.25</v>
      </c>
      <c r="H31" s="24" t="n">
        <f aca="false">E31-F31-G31</f>
        <v>1964.2495210084</v>
      </c>
      <c r="I31" s="24" t="n">
        <f aca="false">I30+H31</f>
        <v>10571.8073389676</v>
      </c>
      <c r="J31" s="24" t="n">
        <f aca="false">I31-CAPEX!$E$13</f>
        <v>-53563.1926610324</v>
      </c>
    </row>
    <row r="32" customFormat="false" ht="15" hidden="false" customHeight="true" outlineLevel="0" collapsed="false">
      <c r="B32" s="25" t="n">
        <v>27</v>
      </c>
      <c r="C32" s="37" t="n">
        <f aca="false">MIN(1,B32/Inputs!$C$57)</f>
        <v>1</v>
      </c>
      <c r="D32" s="25" t="n">
        <f aca="false">ROUND(C32*PnL!$C$12,0)</f>
        <v>350</v>
      </c>
      <c r="E32" s="24" t="n">
        <f aca="false">D32*PnL!$C$22</f>
        <v>3756.3025210084</v>
      </c>
      <c r="F32" s="24" t="n">
        <f aca="false">D32*PnL!$C$23</f>
        <v>233.803</v>
      </c>
      <c r="G32" s="23" t="n">
        <f aca="false">OPEX!$C$12</f>
        <v>1558.25</v>
      </c>
      <c r="H32" s="24" t="n">
        <f aca="false">E32-F32-G32</f>
        <v>1964.2495210084</v>
      </c>
      <c r="I32" s="24" t="n">
        <f aca="false">I31+H32</f>
        <v>12536.056859976</v>
      </c>
      <c r="J32" s="24" t="n">
        <f aca="false">I32-CAPEX!$E$13</f>
        <v>-51598.943140024</v>
      </c>
    </row>
    <row r="33" customFormat="false" ht="15" hidden="false" customHeight="true" outlineLevel="0" collapsed="false">
      <c r="B33" s="25" t="n">
        <v>28</v>
      </c>
      <c r="C33" s="37" t="n">
        <f aca="false">MIN(1,B33/Inputs!$C$57)</f>
        <v>1</v>
      </c>
      <c r="D33" s="25" t="n">
        <f aca="false">ROUND(C33*PnL!$C$12,0)</f>
        <v>350</v>
      </c>
      <c r="E33" s="24" t="n">
        <f aca="false">D33*PnL!$C$22</f>
        <v>3756.3025210084</v>
      </c>
      <c r="F33" s="24" t="n">
        <f aca="false">D33*PnL!$C$23</f>
        <v>233.803</v>
      </c>
      <c r="G33" s="23" t="n">
        <f aca="false">OPEX!$C$12</f>
        <v>1558.25</v>
      </c>
      <c r="H33" s="24" t="n">
        <f aca="false">E33-F33-G33</f>
        <v>1964.2495210084</v>
      </c>
      <c r="I33" s="24" t="n">
        <f aca="false">I32+H33</f>
        <v>14500.3063809844</v>
      </c>
      <c r="J33" s="24" t="n">
        <f aca="false">I33-CAPEX!$E$13</f>
        <v>-49634.6936190156</v>
      </c>
    </row>
    <row r="34" customFormat="false" ht="15" hidden="false" customHeight="true" outlineLevel="0" collapsed="false">
      <c r="B34" s="25" t="n">
        <v>29</v>
      </c>
      <c r="C34" s="37" t="n">
        <f aca="false">MIN(1,B34/Inputs!$C$57)</f>
        <v>1</v>
      </c>
      <c r="D34" s="25" t="n">
        <f aca="false">ROUND(C34*PnL!$C$12,0)</f>
        <v>350</v>
      </c>
      <c r="E34" s="24" t="n">
        <f aca="false">D34*PnL!$C$22</f>
        <v>3756.3025210084</v>
      </c>
      <c r="F34" s="24" t="n">
        <f aca="false">D34*PnL!$C$23</f>
        <v>233.803</v>
      </c>
      <c r="G34" s="23" t="n">
        <f aca="false">OPEX!$C$12</f>
        <v>1558.25</v>
      </c>
      <c r="H34" s="24" t="n">
        <f aca="false">E34-F34-G34</f>
        <v>1964.2495210084</v>
      </c>
      <c r="I34" s="24" t="n">
        <f aca="false">I33+H34</f>
        <v>16464.5559019928</v>
      </c>
      <c r="J34" s="24" t="n">
        <f aca="false">I34-CAPEX!$E$13</f>
        <v>-47670.4440980072</v>
      </c>
    </row>
    <row r="35" customFormat="false" ht="15" hidden="false" customHeight="true" outlineLevel="0" collapsed="false">
      <c r="B35" s="25" t="n">
        <v>30</v>
      </c>
      <c r="C35" s="37" t="n">
        <f aca="false">MIN(1,B35/Inputs!$C$57)</f>
        <v>1</v>
      </c>
      <c r="D35" s="25" t="n">
        <f aca="false">ROUND(C35*PnL!$C$12,0)</f>
        <v>350</v>
      </c>
      <c r="E35" s="24" t="n">
        <f aca="false">D35*PnL!$C$22</f>
        <v>3756.3025210084</v>
      </c>
      <c r="F35" s="24" t="n">
        <f aca="false">D35*PnL!$C$23</f>
        <v>233.803</v>
      </c>
      <c r="G35" s="23" t="n">
        <f aca="false">OPEX!$C$12</f>
        <v>1558.25</v>
      </c>
      <c r="H35" s="24" t="n">
        <f aca="false">E35-F35-G35</f>
        <v>1964.2495210084</v>
      </c>
      <c r="I35" s="24" t="n">
        <f aca="false">I34+H35</f>
        <v>18428.8054230012</v>
      </c>
      <c r="J35" s="24" t="n">
        <f aca="false">I35-CAPEX!$E$13</f>
        <v>-45706.1945769988</v>
      </c>
    </row>
    <row r="36" customFormat="false" ht="15" hidden="false" customHeight="true" outlineLevel="0" collapsed="false">
      <c r="B36" s="25" t="n">
        <v>31</v>
      </c>
      <c r="C36" s="37" t="n">
        <f aca="false">MIN(1,B36/Inputs!$C$57)</f>
        <v>1</v>
      </c>
      <c r="D36" s="25" t="n">
        <f aca="false">ROUND(C36*PnL!$C$12,0)</f>
        <v>350</v>
      </c>
      <c r="E36" s="24" t="n">
        <f aca="false">D36*PnL!$C$22</f>
        <v>3756.3025210084</v>
      </c>
      <c r="F36" s="24" t="n">
        <f aca="false">D36*PnL!$C$23</f>
        <v>233.803</v>
      </c>
      <c r="G36" s="23" t="n">
        <f aca="false">OPEX!$C$12</f>
        <v>1558.25</v>
      </c>
      <c r="H36" s="24" t="n">
        <f aca="false">E36-F36-G36</f>
        <v>1964.2495210084</v>
      </c>
      <c r="I36" s="24" t="n">
        <f aca="false">I35+H36</f>
        <v>20393.0549440096</v>
      </c>
      <c r="J36" s="24" t="n">
        <f aca="false">I36-CAPEX!$E$13</f>
        <v>-43741.9450559904</v>
      </c>
    </row>
    <row r="37" customFormat="false" ht="15" hidden="false" customHeight="true" outlineLevel="0" collapsed="false">
      <c r="B37" s="25" t="n">
        <v>32</v>
      </c>
      <c r="C37" s="37" t="n">
        <f aca="false">MIN(1,B37/Inputs!$C$57)</f>
        <v>1</v>
      </c>
      <c r="D37" s="25" t="n">
        <f aca="false">ROUND(C37*PnL!$C$12,0)</f>
        <v>350</v>
      </c>
      <c r="E37" s="24" t="n">
        <f aca="false">D37*PnL!$C$22</f>
        <v>3756.3025210084</v>
      </c>
      <c r="F37" s="24" t="n">
        <f aca="false">D37*PnL!$C$23</f>
        <v>233.803</v>
      </c>
      <c r="G37" s="23" t="n">
        <f aca="false">OPEX!$C$12</f>
        <v>1558.25</v>
      </c>
      <c r="H37" s="24" t="n">
        <f aca="false">E37-F37-G37</f>
        <v>1964.2495210084</v>
      </c>
      <c r="I37" s="24" t="n">
        <f aca="false">I36+H37</f>
        <v>22357.304465018</v>
      </c>
      <c r="J37" s="24" t="n">
        <f aca="false">I37-CAPEX!$E$13</f>
        <v>-41777.695534982</v>
      </c>
    </row>
    <row r="38" customFormat="false" ht="15" hidden="false" customHeight="true" outlineLevel="0" collapsed="false">
      <c r="B38" s="25" t="n">
        <v>33</v>
      </c>
      <c r="C38" s="37" t="n">
        <f aca="false">MIN(1,B38/Inputs!$C$57)</f>
        <v>1</v>
      </c>
      <c r="D38" s="25" t="n">
        <f aca="false">ROUND(C38*PnL!$C$12,0)</f>
        <v>350</v>
      </c>
      <c r="E38" s="24" t="n">
        <f aca="false">D38*PnL!$C$22</f>
        <v>3756.3025210084</v>
      </c>
      <c r="F38" s="24" t="n">
        <f aca="false">D38*PnL!$C$23</f>
        <v>233.803</v>
      </c>
      <c r="G38" s="23" t="n">
        <f aca="false">OPEX!$C$12</f>
        <v>1558.25</v>
      </c>
      <c r="H38" s="24" t="n">
        <f aca="false">E38-F38-G38</f>
        <v>1964.2495210084</v>
      </c>
      <c r="I38" s="24" t="n">
        <f aca="false">I37+H38</f>
        <v>24321.5539860264</v>
      </c>
      <c r="J38" s="24" t="n">
        <f aca="false">I38-CAPEX!$E$13</f>
        <v>-39813.4460139736</v>
      </c>
    </row>
    <row r="39" customFormat="false" ht="15" hidden="false" customHeight="true" outlineLevel="0" collapsed="false">
      <c r="B39" s="25" t="n">
        <v>34</v>
      </c>
      <c r="C39" s="37" t="n">
        <f aca="false">MIN(1,B39/Inputs!$C$57)</f>
        <v>1</v>
      </c>
      <c r="D39" s="25" t="n">
        <f aca="false">ROUND(C39*PnL!$C$12,0)</f>
        <v>350</v>
      </c>
      <c r="E39" s="24" t="n">
        <f aca="false">D39*PnL!$C$22</f>
        <v>3756.3025210084</v>
      </c>
      <c r="F39" s="24" t="n">
        <f aca="false">D39*PnL!$C$23</f>
        <v>233.803</v>
      </c>
      <c r="G39" s="23" t="n">
        <f aca="false">OPEX!$C$12</f>
        <v>1558.25</v>
      </c>
      <c r="H39" s="24" t="n">
        <f aca="false">E39-F39-G39</f>
        <v>1964.2495210084</v>
      </c>
      <c r="I39" s="24" t="n">
        <f aca="false">I38+H39</f>
        <v>26285.8035070348</v>
      </c>
      <c r="J39" s="24" t="n">
        <f aca="false">I39-CAPEX!$E$13</f>
        <v>-37849.1964929652</v>
      </c>
    </row>
    <row r="40" customFormat="false" ht="15" hidden="false" customHeight="true" outlineLevel="0" collapsed="false">
      <c r="B40" s="25" t="n">
        <v>35</v>
      </c>
      <c r="C40" s="37" t="n">
        <f aca="false">MIN(1,B40/Inputs!$C$57)</f>
        <v>1</v>
      </c>
      <c r="D40" s="25" t="n">
        <f aca="false">ROUND(C40*PnL!$C$12,0)</f>
        <v>350</v>
      </c>
      <c r="E40" s="24" t="n">
        <f aca="false">D40*PnL!$C$22</f>
        <v>3756.3025210084</v>
      </c>
      <c r="F40" s="24" t="n">
        <f aca="false">D40*PnL!$C$23</f>
        <v>233.803</v>
      </c>
      <c r="G40" s="23" t="n">
        <f aca="false">OPEX!$C$12</f>
        <v>1558.25</v>
      </c>
      <c r="H40" s="24" t="n">
        <f aca="false">E40-F40-G40</f>
        <v>1964.2495210084</v>
      </c>
      <c r="I40" s="24" t="n">
        <f aca="false">I39+H40</f>
        <v>28250.0530280432</v>
      </c>
      <c r="J40" s="24" t="n">
        <f aca="false">I40-CAPEX!$E$13</f>
        <v>-35884.9469719568</v>
      </c>
    </row>
    <row r="41" customFormat="false" ht="15" hidden="false" customHeight="true" outlineLevel="0" collapsed="false">
      <c r="B41" s="25" t="n">
        <v>36</v>
      </c>
      <c r="C41" s="37" t="n">
        <f aca="false">MIN(1,B41/Inputs!$C$57)</f>
        <v>1</v>
      </c>
      <c r="D41" s="25" t="n">
        <f aca="false">ROUND(C41*PnL!$C$12,0)</f>
        <v>350</v>
      </c>
      <c r="E41" s="24" t="n">
        <f aca="false">D41*PnL!$C$22</f>
        <v>3756.3025210084</v>
      </c>
      <c r="F41" s="24" t="n">
        <f aca="false">D41*PnL!$C$23</f>
        <v>233.803</v>
      </c>
      <c r="G41" s="23" t="n">
        <f aca="false">OPEX!$C$12</f>
        <v>1558.25</v>
      </c>
      <c r="H41" s="24" t="n">
        <f aca="false">E41-F41-G41</f>
        <v>1964.2495210084</v>
      </c>
      <c r="I41" s="24" t="n">
        <f aca="false">I40+H41</f>
        <v>30214.3025490516</v>
      </c>
      <c r="J41" s="24" t="n">
        <f aca="false">I41-CAPEX!$E$13</f>
        <v>-33920.6974509484</v>
      </c>
    </row>
    <row r="42" customFormat="false" ht="15" hidden="false" customHeight="true" outlineLevel="0" collapsed="false">
      <c r="B42" s="25" t="n">
        <v>37</v>
      </c>
      <c r="C42" s="37" t="n">
        <f aca="false">MIN(1,B42/Inputs!$C$57)</f>
        <v>1</v>
      </c>
      <c r="D42" s="25" t="n">
        <f aca="false">ROUND(C42*PnL!$C$12,0)</f>
        <v>350</v>
      </c>
      <c r="E42" s="24" t="n">
        <f aca="false">D42*PnL!$C$22</f>
        <v>3756.3025210084</v>
      </c>
      <c r="F42" s="24" t="n">
        <f aca="false">D42*PnL!$C$23</f>
        <v>233.803</v>
      </c>
      <c r="G42" s="23" t="n">
        <f aca="false">OPEX!$C$12</f>
        <v>1558.25</v>
      </c>
      <c r="H42" s="24" t="n">
        <f aca="false">E42-F42-G42</f>
        <v>1964.2495210084</v>
      </c>
      <c r="I42" s="24" t="n">
        <f aca="false">I41+H42</f>
        <v>32178.55207006</v>
      </c>
      <c r="J42" s="24" t="n">
        <f aca="false">I42-CAPEX!$E$13</f>
        <v>-31956.44792994</v>
      </c>
    </row>
    <row r="43" customFormat="false" ht="15" hidden="false" customHeight="true" outlineLevel="0" collapsed="false">
      <c r="B43" s="25" t="n">
        <v>38</v>
      </c>
      <c r="C43" s="37" t="n">
        <f aca="false">MIN(1,B43/Inputs!$C$57)</f>
        <v>1</v>
      </c>
      <c r="D43" s="25" t="n">
        <f aca="false">ROUND(C43*PnL!$C$12,0)</f>
        <v>350</v>
      </c>
      <c r="E43" s="24" t="n">
        <f aca="false">D43*PnL!$C$22</f>
        <v>3756.3025210084</v>
      </c>
      <c r="F43" s="24" t="n">
        <f aca="false">D43*PnL!$C$23</f>
        <v>233.803</v>
      </c>
      <c r="G43" s="23" t="n">
        <f aca="false">OPEX!$C$12</f>
        <v>1558.25</v>
      </c>
      <c r="H43" s="24" t="n">
        <f aca="false">E43-F43-G43</f>
        <v>1964.2495210084</v>
      </c>
      <c r="I43" s="24" t="n">
        <f aca="false">I42+H43</f>
        <v>34142.8015910684</v>
      </c>
      <c r="J43" s="24" t="n">
        <f aca="false">I43-CAPEX!$E$13</f>
        <v>-29992.1984089316</v>
      </c>
    </row>
    <row r="44" customFormat="false" ht="15" hidden="false" customHeight="true" outlineLevel="0" collapsed="false">
      <c r="B44" s="25" t="n">
        <v>39</v>
      </c>
      <c r="C44" s="37" t="n">
        <f aca="false">MIN(1,B44/Inputs!$C$57)</f>
        <v>1</v>
      </c>
      <c r="D44" s="25" t="n">
        <f aca="false">ROUND(C44*PnL!$C$12,0)</f>
        <v>350</v>
      </c>
      <c r="E44" s="24" t="n">
        <f aca="false">D44*PnL!$C$22</f>
        <v>3756.3025210084</v>
      </c>
      <c r="F44" s="24" t="n">
        <f aca="false">D44*PnL!$C$23</f>
        <v>233.803</v>
      </c>
      <c r="G44" s="23" t="n">
        <f aca="false">OPEX!$C$12</f>
        <v>1558.25</v>
      </c>
      <c r="H44" s="24" t="n">
        <f aca="false">E44-F44-G44</f>
        <v>1964.2495210084</v>
      </c>
      <c r="I44" s="24" t="n">
        <f aca="false">I43+H44</f>
        <v>36107.0511120768</v>
      </c>
      <c r="J44" s="24" t="n">
        <f aca="false">I44-CAPEX!$E$13</f>
        <v>-28027.9488879232</v>
      </c>
    </row>
    <row r="45" customFormat="false" ht="15" hidden="false" customHeight="true" outlineLevel="0" collapsed="false">
      <c r="B45" s="25" t="n">
        <v>40</v>
      </c>
      <c r="C45" s="37" t="n">
        <f aca="false">MIN(1,B45/Inputs!$C$57)</f>
        <v>1</v>
      </c>
      <c r="D45" s="25" t="n">
        <f aca="false">ROUND(C45*PnL!$C$12,0)</f>
        <v>350</v>
      </c>
      <c r="E45" s="24" t="n">
        <f aca="false">D45*PnL!$C$22</f>
        <v>3756.3025210084</v>
      </c>
      <c r="F45" s="24" t="n">
        <f aca="false">D45*PnL!$C$23</f>
        <v>233.803</v>
      </c>
      <c r="G45" s="23" t="n">
        <f aca="false">OPEX!$C$12</f>
        <v>1558.25</v>
      </c>
      <c r="H45" s="24" t="n">
        <f aca="false">E45-F45-G45</f>
        <v>1964.2495210084</v>
      </c>
      <c r="I45" s="24" t="n">
        <f aca="false">I44+H45</f>
        <v>38071.3006330852</v>
      </c>
      <c r="J45" s="24" t="n">
        <f aca="false">I45-CAPEX!$E$13</f>
        <v>-26063.6993669148</v>
      </c>
    </row>
    <row r="46" customFormat="false" ht="15" hidden="false" customHeight="true" outlineLevel="0" collapsed="false">
      <c r="B46" s="25" t="n">
        <v>41</v>
      </c>
      <c r="C46" s="37" t="n">
        <f aca="false">MIN(1,B46/Inputs!$C$57)</f>
        <v>1</v>
      </c>
      <c r="D46" s="25" t="n">
        <f aca="false">ROUND(C46*PnL!$C$12,0)</f>
        <v>350</v>
      </c>
      <c r="E46" s="24" t="n">
        <f aca="false">D46*PnL!$C$22</f>
        <v>3756.3025210084</v>
      </c>
      <c r="F46" s="24" t="n">
        <f aca="false">D46*PnL!$C$23</f>
        <v>233.803</v>
      </c>
      <c r="G46" s="23" t="n">
        <f aca="false">OPEX!$C$12</f>
        <v>1558.25</v>
      </c>
      <c r="H46" s="24" t="n">
        <f aca="false">E46-F46-G46</f>
        <v>1964.2495210084</v>
      </c>
      <c r="I46" s="24" t="n">
        <f aca="false">I45+H46</f>
        <v>40035.5501540936</v>
      </c>
      <c r="J46" s="24" t="n">
        <f aca="false">I46-CAPEX!$E$13</f>
        <v>-24099.4498459064</v>
      </c>
    </row>
    <row r="47" customFormat="false" ht="15" hidden="false" customHeight="true" outlineLevel="0" collapsed="false">
      <c r="B47" s="25" t="n">
        <v>42</v>
      </c>
      <c r="C47" s="37" t="n">
        <f aca="false">MIN(1,B47/Inputs!$C$57)</f>
        <v>1</v>
      </c>
      <c r="D47" s="25" t="n">
        <f aca="false">ROUND(C47*PnL!$C$12,0)</f>
        <v>350</v>
      </c>
      <c r="E47" s="24" t="n">
        <f aca="false">D47*PnL!$C$22</f>
        <v>3756.3025210084</v>
      </c>
      <c r="F47" s="24" t="n">
        <f aca="false">D47*PnL!$C$23</f>
        <v>233.803</v>
      </c>
      <c r="G47" s="23" t="n">
        <f aca="false">OPEX!$C$12</f>
        <v>1558.25</v>
      </c>
      <c r="H47" s="24" t="n">
        <f aca="false">E47-F47-G47</f>
        <v>1964.2495210084</v>
      </c>
      <c r="I47" s="24" t="n">
        <f aca="false">I46+H47</f>
        <v>41999.799675102</v>
      </c>
      <c r="J47" s="24" t="n">
        <f aca="false">I47-CAPEX!$E$13</f>
        <v>-22135.200324898</v>
      </c>
    </row>
    <row r="48" customFormat="false" ht="15" hidden="false" customHeight="true" outlineLevel="0" collapsed="false">
      <c r="B48" s="25" t="n">
        <v>43</v>
      </c>
      <c r="C48" s="37" t="n">
        <f aca="false">MIN(1,B48/Inputs!$C$57)</f>
        <v>1</v>
      </c>
      <c r="D48" s="25" t="n">
        <f aca="false">ROUND(C48*PnL!$C$12,0)</f>
        <v>350</v>
      </c>
      <c r="E48" s="24" t="n">
        <f aca="false">D48*PnL!$C$22</f>
        <v>3756.3025210084</v>
      </c>
      <c r="F48" s="24" t="n">
        <f aca="false">D48*PnL!$C$23</f>
        <v>233.803</v>
      </c>
      <c r="G48" s="23" t="n">
        <f aca="false">OPEX!$C$12</f>
        <v>1558.25</v>
      </c>
      <c r="H48" s="24" t="n">
        <f aca="false">E48-F48-G48</f>
        <v>1964.2495210084</v>
      </c>
      <c r="I48" s="24" t="n">
        <f aca="false">I47+H48</f>
        <v>43964.0491961104</v>
      </c>
      <c r="J48" s="24" t="n">
        <f aca="false">I48-CAPEX!$E$13</f>
        <v>-20170.9508038896</v>
      </c>
    </row>
    <row r="49" customFormat="false" ht="15" hidden="false" customHeight="true" outlineLevel="0" collapsed="false">
      <c r="B49" s="25" t="n">
        <v>44</v>
      </c>
      <c r="C49" s="37" t="n">
        <f aca="false">MIN(1,B49/Inputs!$C$57)</f>
        <v>1</v>
      </c>
      <c r="D49" s="25" t="n">
        <f aca="false">ROUND(C49*PnL!$C$12,0)</f>
        <v>350</v>
      </c>
      <c r="E49" s="24" t="n">
        <f aca="false">D49*PnL!$C$22</f>
        <v>3756.3025210084</v>
      </c>
      <c r="F49" s="24" t="n">
        <f aca="false">D49*PnL!$C$23</f>
        <v>233.803</v>
      </c>
      <c r="G49" s="23" t="n">
        <f aca="false">OPEX!$C$12</f>
        <v>1558.25</v>
      </c>
      <c r="H49" s="24" t="n">
        <f aca="false">E49-F49-G49</f>
        <v>1964.2495210084</v>
      </c>
      <c r="I49" s="24" t="n">
        <f aca="false">I48+H49</f>
        <v>45928.2987171188</v>
      </c>
      <c r="J49" s="24" t="n">
        <f aca="false">I49-CAPEX!$E$13</f>
        <v>-18206.7012828812</v>
      </c>
    </row>
    <row r="50" customFormat="false" ht="15" hidden="false" customHeight="true" outlineLevel="0" collapsed="false">
      <c r="B50" s="25" t="n">
        <v>45</v>
      </c>
      <c r="C50" s="37" t="n">
        <f aca="false">MIN(1,B50/Inputs!$C$57)</f>
        <v>1</v>
      </c>
      <c r="D50" s="25" t="n">
        <f aca="false">ROUND(C50*PnL!$C$12,0)</f>
        <v>350</v>
      </c>
      <c r="E50" s="24" t="n">
        <f aca="false">D50*PnL!$C$22</f>
        <v>3756.3025210084</v>
      </c>
      <c r="F50" s="24" t="n">
        <f aca="false">D50*PnL!$C$23</f>
        <v>233.803</v>
      </c>
      <c r="G50" s="23" t="n">
        <f aca="false">OPEX!$C$12</f>
        <v>1558.25</v>
      </c>
      <c r="H50" s="24" t="n">
        <f aca="false">E50-F50-G50</f>
        <v>1964.2495210084</v>
      </c>
      <c r="I50" s="24" t="n">
        <f aca="false">I49+H50</f>
        <v>47892.5482381272</v>
      </c>
      <c r="J50" s="24" t="n">
        <f aca="false">I50-CAPEX!$E$13</f>
        <v>-16242.4517618728</v>
      </c>
    </row>
    <row r="51" customFormat="false" ht="15" hidden="false" customHeight="true" outlineLevel="0" collapsed="false">
      <c r="B51" s="25" t="n">
        <v>46</v>
      </c>
      <c r="C51" s="37" t="n">
        <f aca="false">MIN(1,B51/Inputs!$C$57)</f>
        <v>1</v>
      </c>
      <c r="D51" s="25" t="n">
        <f aca="false">ROUND(C51*PnL!$C$12,0)</f>
        <v>350</v>
      </c>
      <c r="E51" s="24" t="n">
        <f aca="false">D51*PnL!$C$22</f>
        <v>3756.3025210084</v>
      </c>
      <c r="F51" s="24" t="n">
        <f aca="false">D51*PnL!$C$23</f>
        <v>233.803</v>
      </c>
      <c r="G51" s="23" t="n">
        <f aca="false">OPEX!$C$12</f>
        <v>1558.25</v>
      </c>
      <c r="H51" s="24" t="n">
        <f aca="false">E51-F51-G51</f>
        <v>1964.2495210084</v>
      </c>
      <c r="I51" s="24" t="n">
        <f aca="false">I50+H51</f>
        <v>49856.7977591356</v>
      </c>
      <c r="J51" s="24" t="n">
        <f aca="false">I51-CAPEX!$E$13</f>
        <v>-14278.2022408644</v>
      </c>
    </row>
    <row r="52" customFormat="false" ht="15" hidden="false" customHeight="true" outlineLevel="0" collapsed="false">
      <c r="B52" s="25" t="n">
        <v>47</v>
      </c>
      <c r="C52" s="37" t="n">
        <f aca="false">MIN(1,B52/Inputs!$C$57)</f>
        <v>1</v>
      </c>
      <c r="D52" s="25" t="n">
        <f aca="false">ROUND(C52*PnL!$C$12,0)</f>
        <v>350</v>
      </c>
      <c r="E52" s="24" t="n">
        <f aca="false">D52*PnL!$C$22</f>
        <v>3756.3025210084</v>
      </c>
      <c r="F52" s="24" t="n">
        <f aca="false">D52*PnL!$C$23</f>
        <v>233.803</v>
      </c>
      <c r="G52" s="23" t="n">
        <f aca="false">OPEX!$C$12</f>
        <v>1558.25</v>
      </c>
      <c r="H52" s="24" t="n">
        <f aca="false">E52-F52-G52</f>
        <v>1964.2495210084</v>
      </c>
      <c r="I52" s="24" t="n">
        <f aca="false">I51+H52</f>
        <v>51821.047280144</v>
      </c>
      <c r="J52" s="24" t="n">
        <f aca="false">I52-CAPEX!$E$13</f>
        <v>-12313.952719856</v>
      </c>
    </row>
    <row r="53" customFormat="false" ht="15" hidden="false" customHeight="true" outlineLevel="0" collapsed="false">
      <c r="B53" s="25" t="n">
        <v>48</v>
      </c>
      <c r="C53" s="37" t="n">
        <f aca="false">MIN(1,B53/Inputs!$C$57)</f>
        <v>1</v>
      </c>
      <c r="D53" s="25" t="n">
        <f aca="false">ROUND(C53*PnL!$C$12,0)</f>
        <v>350</v>
      </c>
      <c r="E53" s="24" t="n">
        <f aca="false">D53*PnL!$C$22</f>
        <v>3756.3025210084</v>
      </c>
      <c r="F53" s="24" t="n">
        <f aca="false">D53*PnL!$C$23</f>
        <v>233.803</v>
      </c>
      <c r="G53" s="23" t="n">
        <f aca="false">OPEX!$C$12</f>
        <v>1558.25</v>
      </c>
      <c r="H53" s="24" t="n">
        <f aca="false">E53-F53-G53</f>
        <v>1964.2495210084</v>
      </c>
      <c r="I53" s="24" t="n">
        <f aca="false">I52+H53</f>
        <v>53785.2968011524</v>
      </c>
      <c r="J53" s="24" t="n">
        <f aca="false">I53-CAPEX!$E$13</f>
        <v>-10349.7031988476</v>
      </c>
    </row>
    <row r="54" customFormat="false" ht="15" hidden="false" customHeight="false" outlineLevel="0" collapsed="false">
      <c r="B54" s="25" t="n">
        <v>49</v>
      </c>
      <c r="C54" s="37" t="n">
        <f aca="false">MIN(1,B54/Inputs!$C$57)</f>
        <v>1</v>
      </c>
      <c r="D54" s="25" t="n">
        <f aca="false">ROUND(C54*PnL!$C$12,0)</f>
        <v>350</v>
      </c>
      <c r="E54" s="24" t="n">
        <f aca="false">D54*PnL!$C$22</f>
        <v>3756.3025210084</v>
      </c>
      <c r="F54" s="24" t="n">
        <f aca="false">D54*PnL!$C$23</f>
        <v>233.803</v>
      </c>
      <c r="G54" s="23" t="n">
        <f aca="false">OPEX!$C$12</f>
        <v>1558.25</v>
      </c>
      <c r="H54" s="24" t="n">
        <f aca="false">E54-F54-G54</f>
        <v>1964.2495210084</v>
      </c>
      <c r="I54" s="24" t="n">
        <f aca="false">I53+H54</f>
        <v>55749.5463221608</v>
      </c>
      <c r="J54" s="24" t="n">
        <f aca="false">I54-CAPEX!$E$13</f>
        <v>-8385.45367783917</v>
      </c>
    </row>
    <row r="55" customFormat="false" ht="15" hidden="false" customHeight="true" outlineLevel="0" collapsed="false">
      <c r="B55" s="25" t="n">
        <v>50</v>
      </c>
      <c r="C55" s="37" t="n">
        <f aca="false">MIN(1,B55/Inputs!$C$57)</f>
        <v>1</v>
      </c>
      <c r="D55" s="25" t="n">
        <f aca="false">ROUND(C55*PnL!$C$12,0)</f>
        <v>350</v>
      </c>
      <c r="E55" s="24" t="n">
        <f aca="false">D55*PnL!$C$22</f>
        <v>3756.3025210084</v>
      </c>
      <c r="F55" s="24" t="n">
        <f aca="false">D55*PnL!$C$23</f>
        <v>233.803</v>
      </c>
      <c r="G55" s="23" t="n">
        <f aca="false">OPEX!$C$12</f>
        <v>1558.25</v>
      </c>
      <c r="H55" s="24" t="n">
        <f aca="false">E55-F55-G55</f>
        <v>1964.2495210084</v>
      </c>
      <c r="I55" s="24" t="n">
        <f aca="false">I54+H55</f>
        <v>57713.7958431692</v>
      </c>
      <c r="J55" s="24" t="n">
        <f aca="false">I55-CAPEX!$E$13</f>
        <v>-6421.20415683077</v>
      </c>
    </row>
    <row r="56" customFormat="false" ht="15" hidden="false" customHeight="true" outlineLevel="0" collapsed="false">
      <c r="B56" s="25" t="n">
        <v>51</v>
      </c>
      <c r="C56" s="37" t="n">
        <f aca="false">MIN(1,B56/Inputs!$C$57)</f>
        <v>1</v>
      </c>
      <c r="D56" s="25" t="n">
        <f aca="false">ROUND(C56*PnL!$C$12,0)</f>
        <v>350</v>
      </c>
      <c r="E56" s="24" t="n">
        <f aca="false">D56*PnL!$C$22</f>
        <v>3756.3025210084</v>
      </c>
      <c r="F56" s="24" t="n">
        <f aca="false">D56*PnL!$C$23</f>
        <v>233.803</v>
      </c>
      <c r="G56" s="23" t="n">
        <f aca="false">OPEX!$C$12</f>
        <v>1558.25</v>
      </c>
      <c r="H56" s="24" t="n">
        <f aca="false">E56-F56-G56</f>
        <v>1964.2495210084</v>
      </c>
      <c r="I56" s="24" t="n">
        <f aca="false">I55+H56</f>
        <v>59678.0453641776</v>
      </c>
      <c r="J56" s="24" t="n">
        <f aca="false">I56-CAPEX!$E$13</f>
        <v>-4456.95463582237</v>
      </c>
    </row>
    <row r="57" customFormat="false" ht="15" hidden="false" customHeight="true" outlineLevel="0" collapsed="false">
      <c r="B57" s="25" t="n">
        <v>52</v>
      </c>
      <c r="C57" s="37" t="n">
        <f aca="false">MIN(1,B57/Inputs!$C$57)</f>
        <v>1</v>
      </c>
      <c r="D57" s="25" t="n">
        <f aca="false">ROUND(C57*PnL!$C$12,0)</f>
        <v>350</v>
      </c>
      <c r="E57" s="24" t="n">
        <f aca="false">D57*PnL!$C$22</f>
        <v>3756.3025210084</v>
      </c>
      <c r="F57" s="24" t="n">
        <f aca="false">D57*PnL!$C$23</f>
        <v>233.803</v>
      </c>
      <c r="G57" s="23" t="n">
        <f aca="false">OPEX!$C$12</f>
        <v>1558.25</v>
      </c>
      <c r="H57" s="24" t="n">
        <f aca="false">E57-F57-G57</f>
        <v>1964.2495210084</v>
      </c>
      <c r="I57" s="24" t="n">
        <f aca="false">I56+H57</f>
        <v>61642.294885186</v>
      </c>
      <c r="J57" s="24" t="n">
        <f aca="false">I57-CAPEX!$E$13</f>
        <v>-2492.70511481397</v>
      </c>
    </row>
    <row r="58" customFormat="false" ht="15" hidden="false" customHeight="false" outlineLevel="0" collapsed="false">
      <c r="B58" s="25" t="n">
        <v>53</v>
      </c>
      <c r="C58" s="37" t="n">
        <f aca="false">MIN(1,B58/Inputs!$C$57)</f>
        <v>1</v>
      </c>
      <c r="D58" s="25" t="n">
        <f aca="false">ROUND(C58*PnL!$C$12,0)</f>
        <v>350</v>
      </c>
      <c r="E58" s="24" t="n">
        <f aca="false">D58*PnL!$C$22</f>
        <v>3756.3025210084</v>
      </c>
      <c r="F58" s="24" t="n">
        <f aca="false">D58*PnL!$C$23</f>
        <v>233.803</v>
      </c>
      <c r="G58" s="23" t="n">
        <f aca="false">OPEX!$C$12</f>
        <v>1558.25</v>
      </c>
      <c r="H58" s="24" t="n">
        <f aca="false">E58-F58-G58</f>
        <v>1964.2495210084</v>
      </c>
      <c r="I58" s="24" t="n">
        <f aca="false">I57+H58</f>
        <v>63606.5444061944</v>
      </c>
      <c r="J58" s="24" t="n">
        <f aca="false">I58-CAPEX!$E$13</f>
        <v>-528.455593805564</v>
      </c>
    </row>
    <row r="59" customFormat="false" ht="15" hidden="false" customHeight="false" outlineLevel="0" collapsed="false">
      <c r="B59" s="25" t="n">
        <v>54</v>
      </c>
      <c r="C59" s="37" t="n">
        <f aca="false">MIN(1,B59/Inputs!$C$57)</f>
        <v>1</v>
      </c>
      <c r="D59" s="25" t="n">
        <f aca="false">ROUND(C59*PnL!$C$12,0)</f>
        <v>350</v>
      </c>
      <c r="E59" s="24" t="n">
        <f aca="false">D59*PnL!$C$22</f>
        <v>3756.3025210084</v>
      </c>
      <c r="F59" s="24" t="n">
        <f aca="false">D59*PnL!$C$23</f>
        <v>233.803</v>
      </c>
      <c r="G59" s="23" t="n">
        <f aca="false">OPEX!$C$12</f>
        <v>1558.25</v>
      </c>
      <c r="H59" s="24" t="n">
        <f aca="false">E59-F59-G59</f>
        <v>1964.2495210084</v>
      </c>
      <c r="I59" s="24" t="n">
        <f aca="false">I58+H59</f>
        <v>65570.7939272029</v>
      </c>
      <c r="J59" s="24" t="n">
        <f aca="false">I59-CAPEX!$E$13</f>
        <v>1435.79392720285</v>
      </c>
    </row>
    <row r="60" customFormat="false" ht="15" hidden="false" customHeight="true" outlineLevel="0" collapsed="false">
      <c r="B60" s="25" t="n">
        <v>55</v>
      </c>
      <c r="C60" s="37" t="n">
        <f aca="false">MIN(1,B60/Inputs!$C$57)</f>
        <v>1</v>
      </c>
      <c r="D60" s="25" t="n">
        <f aca="false">ROUND(C60*PnL!$C$12,0)</f>
        <v>350</v>
      </c>
      <c r="E60" s="24" t="n">
        <f aca="false">D60*PnL!$C$22</f>
        <v>3756.3025210084</v>
      </c>
      <c r="F60" s="24" t="n">
        <f aca="false">D60*PnL!$C$23</f>
        <v>233.803</v>
      </c>
      <c r="G60" s="23" t="n">
        <f aca="false">OPEX!$C$12</f>
        <v>1558.25</v>
      </c>
      <c r="H60" s="24" t="n">
        <f aca="false">E60-F60-G60</f>
        <v>1964.2495210084</v>
      </c>
      <c r="I60" s="24" t="n">
        <f aca="false">I59+H60</f>
        <v>67535.0434482113</v>
      </c>
      <c r="J60" s="24" t="n">
        <f aca="false">I60-CAPEX!$E$13</f>
        <v>3400.04344821125</v>
      </c>
    </row>
    <row r="61" customFormat="false" ht="15" hidden="false" customHeight="false" outlineLevel="0" collapsed="false">
      <c r="B61" s="25" t="n">
        <v>56</v>
      </c>
      <c r="C61" s="37" t="n">
        <f aca="false">MIN(1,B61/Inputs!$C$57)</f>
        <v>1</v>
      </c>
      <c r="D61" s="25" t="n">
        <f aca="false">ROUND(C61*PnL!$C$12,0)</f>
        <v>350</v>
      </c>
      <c r="E61" s="24" t="n">
        <f aca="false">D61*PnL!$C$22</f>
        <v>3756.3025210084</v>
      </c>
      <c r="F61" s="24" t="n">
        <f aca="false">D61*PnL!$C$23</f>
        <v>233.803</v>
      </c>
      <c r="G61" s="23" t="n">
        <f aca="false">OPEX!$C$12</f>
        <v>1558.25</v>
      </c>
      <c r="H61" s="24" t="n">
        <f aca="false">E61-F61-G61</f>
        <v>1964.2495210084</v>
      </c>
      <c r="I61" s="24" t="n">
        <f aca="false">I60+H61</f>
        <v>69499.2929692197</v>
      </c>
      <c r="J61" s="24" t="n">
        <f aca="false">I61-CAPEX!$E$13</f>
        <v>5364.29296921965</v>
      </c>
    </row>
    <row r="62" customFormat="false" ht="15" hidden="false" customHeight="false" outlineLevel="0" collapsed="false">
      <c r="B62" s="25" t="n">
        <v>57</v>
      </c>
      <c r="C62" s="37" t="n">
        <f aca="false">MIN(1,B62/Inputs!$C$57)</f>
        <v>1</v>
      </c>
      <c r="D62" s="25" t="n">
        <f aca="false">ROUND(C62*PnL!$C$12,0)</f>
        <v>350</v>
      </c>
      <c r="E62" s="24" t="n">
        <f aca="false">D62*PnL!$C$22</f>
        <v>3756.3025210084</v>
      </c>
      <c r="F62" s="24" t="n">
        <f aca="false">D62*PnL!$C$23</f>
        <v>233.803</v>
      </c>
      <c r="G62" s="23" t="n">
        <f aca="false">OPEX!$C$12</f>
        <v>1558.25</v>
      </c>
      <c r="H62" s="24" t="n">
        <f aca="false">E62-F62-G62</f>
        <v>1964.2495210084</v>
      </c>
      <c r="I62" s="24" t="n">
        <f aca="false">I61+H62</f>
        <v>71463.5424902281</v>
      </c>
      <c r="J62" s="24" t="n">
        <f aca="false">I62-CAPEX!$E$13</f>
        <v>7328.54249022805</v>
      </c>
    </row>
    <row r="63" customFormat="false" ht="15" hidden="false" customHeight="false" outlineLevel="0" collapsed="false">
      <c r="B63" s="25" t="n">
        <v>58</v>
      </c>
      <c r="C63" s="37" t="n">
        <f aca="false">MIN(1,B63/Inputs!$C$57)</f>
        <v>1</v>
      </c>
      <c r="D63" s="25" t="n">
        <f aca="false">ROUND(C63*PnL!$C$12,0)</f>
        <v>350</v>
      </c>
      <c r="E63" s="24" t="n">
        <f aca="false">D63*PnL!$C$22</f>
        <v>3756.3025210084</v>
      </c>
      <c r="F63" s="24" t="n">
        <f aca="false">D63*PnL!$C$23</f>
        <v>233.803</v>
      </c>
      <c r="G63" s="23" t="n">
        <f aca="false">OPEX!$C$12</f>
        <v>1558.25</v>
      </c>
      <c r="H63" s="24" t="n">
        <f aca="false">E63-F63-G63</f>
        <v>1964.2495210084</v>
      </c>
      <c r="I63" s="24" t="n">
        <f aca="false">I62+H63</f>
        <v>73427.7920112365</v>
      </c>
      <c r="J63" s="24" t="n">
        <f aca="false">I63-CAPEX!$E$13</f>
        <v>9292.79201123645</v>
      </c>
    </row>
    <row r="64" customFormat="false" ht="15" hidden="false" customHeight="false" outlineLevel="0" collapsed="false">
      <c r="B64" s="25" t="n">
        <v>59</v>
      </c>
      <c r="C64" s="37" t="n">
        <f aca="false">MIN(1,B64/Inputs!$C$57)</f>
        <v>1</v>
      </c>
      <c r="D64" s="25" t="n">
        <f aca="false">ROUND(C64*PnL!$C$12,0)</f>
        <v>350</v>
      </c>
      <c r="E64" s="24" t="n">
        <f aca="false">D64*PnL!$C$22</f>
        <v>3756.3025210084</v>
      </c>
      <c r="F64" s="24" t="n">
        <f aca="false">D64*PnL!$C$23</f>
        <v>233.803</v>
      </c>
      <c r="G64" s="23" t="n">
        <f aca="false">OPEX!$C$12</f>
        <v>1558.25</v>
      </c>
      <c r="H64" s="24" t="n">
        <f aca="false">E64-F64-G64</f>
        <v>1964.2495210084</v>
      </c>
      <c r="I64" s="24" t="n">
        <f aca="false">I63+H64</f>
        <v>75392.0415322449</v>
      </c>
      <c r="J64" s="24" t="n">
        <f aca="false">I64-CAPEX!$E$13</f>
        <v>11257.0415322449</v>
      </c>
    </row>
    <row r="65" customFormat="false" ht="15" hidden="false" customHeight="false" outlineLevel="0" collapsed="false">
      <c r="B65" s="25" t="n">
        <v>60</v>
      </c>
      <c r="C65" s="37" t="n">
        <f aca="false">MIN(1,B65/Inputs!$C$57)</f>
        <v>1</v>
      </c>
      <c r="D65" s="25" t="n">
        <f aca="false">ROUND(C65*PnL!$C$12,0)</f>
        <v>350</v>
      </c>
      <c r="E65" s="24" t="n">
        <f aca="false">D65*PnL!$C$22</f>
        <v>3756.3025210084</v>
      </c>
      <c r="F65" s="24" t="n">
        <f aca="false">D65*PnL!$C$23</f>
        <v>233.803</v>
      </c>
      <c r="G65" s="23" t="n">
        <f aca="false">OPEX!$C$12</f>
        <v>1558.25</v>
      </c>
      <c r="H65" s="24" t="n">
        <f aca="false">E65-F65-G65</f>
        <v>1964.2495210084</v>
      </c>
      <c r="I65" s="24" t="n">
        <f aca="false">I64+H65</f>
        <v>77356.2910532533</v>
      </c>
      <c r="J65" s="24" t="n">
        <f aca="false">I65-CAPEX!$E$13</f>
        <v>13221.2910532533</v>
      </c>
    </row>
    <row r="66" customFormat="false" ht="15" hidden="false" customHeight="false" outlineLevel="0" collapsed="false">
      <c r="B66" s="25" t="n">
        <v>61</v>
      </c>
      <c r="C66" s="37" t="n">
        <f aca="false">MIN(1,B66/Inputs!$C$57)</f>
        <v>1</v>
      </c>
      <c r="D66" s="25" t="n">
        <f aca="false">ROUND(C66*PnL!$C$12,0)</f>
        <v>350</v>
      </c>
      <c r="E66" s="24" t="n">
        <f aca="false">D66*PnL!$C$22</f>
        <v>3756.3025210084</v>
      </c>
      <c r="F66" s="24" t="n">
        <f aca="false">D66*PnL!$C$23</f>
        <v>233.803</v>
      </c>
      <c r="G66" s="23" t="n">
        <f aca="false">OPEX!$C$12</f>
        <v>1558.25</v>
      </c>
      <c r="H66" s="24" t="n">
        <f aca="false">E66-F66-G66</f>
        <v>1964.2495210084</v>
      </c>
      <c r="I66" s="24" t="n">
        <f aca="false">I65+H66</f>
        <v>79320.5405742617</v>
      </c>
      <c r="J66" s="24" t="n">
        <f aca="false">I66-CAPEX!$E$13</f>
        <v>15185.5405742617</v>
      </c>
    </row>
    <row r="67" customFormat="false" ht="15" hidden="false" customHeight="false" outlineLevel="0" collapsed="false">
      <c r="B67" s="25" t="n">
        <v>62</v>
      </c>
      <c r="C67" s="37" t="n">
        <f aca="false">MIN(1,B67/Inputs!$C$57)</f>
        <v>1</v>
      </c>
      <c r="D67" s="25" t="n">
        <f aca="false">ROUND(C67*PnL!$C$12,0)</f>
        <v>350</v>
      </c>
      <c r="E67" s="24" t="n">
        <f aca="false">D67*PnL!$C$22</f>
        <v>3756.3025210084</v>
      </c>
      <c r="F67" s="24" t="n">
        <f aca="false">D67*PnL!$C$23</f>
        <v>233.803</v>
      </c>
      <c r="G67" s="23" t="n">
        <f aca="false">OPEX!$C$12</f>
        <v>1558.25</v>
      </c>
      <c r="H67" s="24" t="n">
        <f aca="false">E67-F67-G67</f>
        <v>1964.2495210084</v>
      </c>
      <c r="I67" s="24" t="n">
        <f aca="false">I66+H67</f>
        <v>81284.7900952701</v>
      </c>
      <c r="J67" s="24" t="n">
        <f aca="false">I67-CAPEX!$E$13</f>
        <v>17149.7900952701</v>
      </c>
    </row>
    <row r="68" customFormat="false" ht="15" hidden="false" customHeight="false" outlineLevel="0" collapsed="false">
      <c r="B68" s="25" t="n">
        <v>63</v>
      </c>
      <c r="C68" s="37" t="n">
        <f aca="false">MIN(1,B68/Inputs!$C$57)</f>
        <v>1</v>
      </c>
      <c r="D68" s="25" t="n">
        <f aca="false">ROUND(C68*PnL!$C$12,0)</f>
        <v>350</v>
      </c>
      <c r="E68" s="24" t="n">
        <f aca="false">D68*PnL!$C$22</f>
        <v>3756.3025210084</v>
      </c>
      <c r="F68" s="24" t="n">
        <f aca="false">D68*PnL!$C$23</f>
        <v>233.803</v>
      </c>
      <c r="G68" s="23" t="n">
        <f aca="false">OPEX!$C$12</f>
        <v>1558.25</v>
      </c>
      <c r="H68" s="24" t="n">
        <f aca="false">E68-F68-G68</f>
        <v>1964.2495210084</v>
      </c>
      <c r="I68" s="24" t="n">
        <f aca="false">I67+H68</f>
        <v>83249.0396162785</v>
      </c>
      <c r="J68" s="24" t="n">
        <f aca="false">I68-CAPEX!$E$13</f>
        <v>19114.0396162785</v>
      </c>
    </row>
    <row r="69" customFormat="false" ht="15" hidden="false" customHeight="false" outlineLevel="0" collapsed="false">
      <c r="B69" s="25" t="n">
        <v>64</v>
      </c>
      <c r="C69" s="37" t="n">
        <f aca="false">MIN(1,B69/Inputs!$C$57)</f>
        <v>1</v>
      </c>
      <c r="D69" s="25" t="n">
        <f aca="false">ROUND(C69*PnL!$C$12,0)</f>
        <v>350</v>
      </c>
      <c r="E69" s="24" t="n">
        <f aca="false">D69*PnL!$C$22</f>
        <v>3756.3025210084</v>
      </c>
      <c r="F69" s="24" t="n">
        <f aca="false">D69*PnL!$C$23</f>
        <v>233.803</v>
      </c>
      <c r="G69" s="23" t="n">
        <f aca="false">OPEX!$C$12</f>
        <v>1558.25</v>
      </c>
      <c r="H69" s="24" t="n">
        <f aca="false">E69-F69-G69</f>
        <v>1964.2495210084</v>
      </c>
      <c r="I69" s="24" t="n">
        <f aca="false">I68+H69</f>
        <v>85213.2891372869</v>
      </c>
      <c r="J69" s="24" t="n">
        <f aca="false">I69-CAPEX!$E$13</f>
        <v>21078.2891372869</v>
      </c>
    </row>
    <row r="70" customFormat="false" ht="15" hidden="false" customHeight="false" outlineLevel="0" collapsed="false">
      <c r="B70" s="25" t="n">
        <v>65</v>
      </c>
      <c r="C70" s="37" t="n">
        <f aca="false">MIN(1,B70/Inputs!$C$57)</f>
        <v>1</v>
      </c>
      <c r="D70" s="25" t="n">
        <f aca="false">ROUND(C70*PnL!$C$12,0)</f>
        <v>350</v>
      </c>
      <c r="E70" s="24" t="n">
        <f aca="false">D70*PnL!$C$22</f>
        <v>3756.3025210084</v>
      </c>
      <c r="F70" s="24" t="n">
        <f aca="false">D70*PnL!$C$23</f>
        <v>233.803</v>
      </c>
      <c r="G70" s="23" t="n">
        <f aca="false">OPEX!$C$12</f>
        <v>1558.25</v>
      </c>
      <c r="H70" s="24" t="n">
        <f aca="false">E70-F70-G70</f>
        <v>1964.2495210084</v>
      </c>
      <c r="I70" s="24" t="n">
        <f aca="false">I69+H70</f>
        <v>87177.5386582953</v>
      </c>
      <c r="J70" s="24" t="n">
        <f aca="false">I70-CAPEX!$E$13</f>
        <v>23042.5386582953</v>
      </c>
    </row>
    <row r="71" customFormat="false" ht="15" hidden="false" customHeight="false" outlineLevel="0" collapsed="false">
      <c r="B71" s="25" t="n">
        <v>66</v>
      </c>
      <c r="C71" s="37" t="n">
        <f aca="false">MIN(1,B71/Inputs!$C$57)</f>
        <v>1</v>
      </c>
      <c r="D71" s="25" t="n">
        <f aca="false">ROUND(C71*PnL!$C$12,0)</f>
        <v>350</v>
      </c>
      <c r="E71" s="24" t="n">
        <f aca="false">D71*PnL!$C$22</f>
        <v>3756.3025210084</v>
      </c>
      <c r="F71" s="24" t="n">
        <f aca="false">D71*PnL!$C$23</f>
        <v>233.803</v>
      </c>
      <c r="G71" s="23" t="n">
        <f aca="false">OPEX!$C$12</f>
        <v>1558.25</v>
      </c>
      <c r="H71" s="24" t="n">
        <f aca="false">E71-F71-G71</f>
        <v>1964.2495210084</v>
      </c>
      <c r="I71" s="24" t="n">
        <f aca="false">I70+H71</f>
        <v>89141.7881793037</v>
      </c>
      <c r="J71" s="24" t="n">
        <f aca="false">I71-CAPEX!$E$13</f>
        <v>25006.7881793037</v>
      </c>
    </row>
    <row r="72" customFormat="false" ht="15" hidden="false" customHeight="false" outlineLevel="0" collapsed="false">
      <c r="B72" s="25" t="n">
        <v>67</v>
      </c>
      <c r="C72" s="37" t="n">
        <f aca="false">MIN(1,B72/Inputs!$C$57)</f>
        <v>1</v>
      </c>
      <c r="D72" s="25" t="n">
        <f aca="false">ROUND(C72*PnL!$C$12,0)</f>
        <v>350</v>
      </c>
      <c r="E72" s="24" t="n">
        <f aca="false">D72*PnL!$C$22</f>
        <v>3756.3025210084</v>
      </c>
      <c r="F72" s="24" t="n">
        <f aca="false">D72*PnL!$C$23</f>
        <v>233.803</v>
      </c>
      <c r="G72" s="23" t="n">
        <f aca="false">OPEX!$C$12</f>
        <v>1558.25</v>
      </c>
      <c r="H72" s="24" t="n">
        <f aca="false">E72-F72-G72</f>
        <v>1964.2495210084</v>
      </c>
      <c r="I72" s="24" t="n">
        <f aca="false">I71+H72</f>
        <v>91106.0377003121</v>
      </c>
      <c r="J72" s="24" t="n">
        <f aca="false">I72-CAPEX!$E$13</f>
        <v>26971.0377003121</v>
      </c>
    </row>
    <row r="73" customFormat="false" ht="15" hidden="false" customHeight="false" outlineLevel="0" collapsed="false">
      <c r="B73" s="25" t="n">
        <v>68</v>
      </c>
      <c r="C73" s="37" t="n">
        <f aca="false">MIN(1,B73/Inputs!$C$57)</f>
        <v>1</v>
      </c>
      <c r="D73" s="25" t="n">
        <f aca="false">ROUND(C73*PnL!$C$12,0)</f>
        <v>350</v>
      </c>
      <c r="E73" s="24" t="n">
        <f aca="false">D73*PnL!$C$22</f>
        <v>3756.3025210084</v>
      </c>
      <c r="F73" s="24" t="n">
        <f aca="false">D73*PnL!$C$23</f>
        <v>233.803</v>
      </c>
      <c r="G73" s="23" t="n">
        <f aca="false">OPEX!$C$12</f>
        <v>1558.25</v>
      </c>
      <c r="H73" s="24" t="n">
        <f aca="false">E73-F73-G73</f>
        <v>1964.2495210084</v>
      </c>
      <c r="I73" s="24" t="n">
        <f aca="false">I72+H73</f>
        <v>93070.2872213205</v>
      </c>
      <c r="J73" s="24" t="n">
        <f aca="false">I73-CAPEX!$E$13</f>
        <v>28935.2872213205</v>
      </c>
    </row>
    <row r="74" customFormat="false" ht="15" hidden="false" customHeight="false" outlineLevel="0" collapsed="false">
      <c r="B74" s="25" t="n">
        <v>69</v>
      </c>
      <c r="C74" s="37" t="n">
        <f aca="false">MIN(1,B74/Inputs!$C$57)</f>
        <v>1</v>
      </c>
      <c r="D74" s="25" t="n">
        <f aca="false">ROUND(C74*PnL!$C$12,0)</f>
        <v>350</v>
      </c>
      <c r="E74" s="24" t="n">
        <f aca="false">D74*PnL!$C$22</f>
        <v>3756.3025210084</v>
      </c>
      <c r="F74" s="24" t="n">
        <f aca="false">D74*PnL!$C$23</f>
        <v>233.803</v>
      </c>
      <c r="G74" s="23" t="n">
        <f aca="false">OPEX!$C$12</f>
        <v>1558.25</v>
      </c>
      <c r="H74" s="24" t="n">
        <f aca="false">E74-F74-G74</f>
        <v>1964.2495210084</v>
      </c>
      <c r="I74" s="24" t="n">
        <f aca="false">I73+H74</f>
        <v>95034.5367423289</v>
      </c>
      <c r="J74" s="24" t="n">
        <f aca="false">I74-CAPEX!$E$13</f>
        <v>30899.5367423289</v>
      </c>
    </row>
    <row r="75" customFormat="false" ht="15" hidden="false" customHeight="false" outlineLevel="0" collapsed="false">
      <c r="B75" s="25" t="n">
        <v>70</v>
      </c>
      <c r="C75" s="37" t="n">
        <f aca="false">MIN(1,B75/Inputs!$C$57)</f>
        <v>1</v>
      </c>
      <c r="D75" s="25" t="n">
        <f aca="false">ROUND(C75*PnL!$C$12,0)</f>
        <v>350</v>
      </c>
      <c r="E75" s="24" t="n">
        <f aca="false">D75*PnL!$C$22</f>
        <v>3756.3025210084</v>
      </c>
      <c r="F75" s="24" t="n">
        <f aca="false">D75*PnL!$C$23</f>
        <v>233.803</v>
      </c>
      <c r="G75" s="23" t="n">
        <f aca="false">OPEX!$C$12</f>
        <v>1558.25</v>
      </c>
      <c r="H75" s="24" t="n">
        <f aca="false">E75-F75-G75</f>
        <v>1964.2495210084</v>
      </c>
      <c r="I75" s="24" t="n">
        <f aca="false">I74+H75</f>
        <v>96998.7862633373</v>
      </c>
      <c r="J75" s="24" t="n">
        <f aca="false">I75-CAPEX!$E$13</f>
        <v>32863.7862633373</v>
      </c>
    </row>
    <row r="76" customFormat="false" ht="15" hidden="false" customHeight="false" outlineLevel="0" collapsed="false">
      <c r="B76" s="25" t="n">
        <v>71</v>
      </c>
      <c r="C76" s="37" t="n">
        <f aca="false">MIN(1,B76/Inputs!$C$57)</f>
        <v>1</v>
      </c>
      <c r="D76" s="25" t="n">
        <f aca="false">ROUND(C76*PnL!$C$12,0)</f>
        <v>350</v>
      </c>
      <c r="E76" s="24" t="n">
        <f aca="false">D76*PnL!$C$22</f>
        <v>3756.3025210084</v>
      </c>
      <c r="F76" s="24" t="n">
        <f aca="false">D76*PnL!$C$23</f>
        <v>233.803</v>
      </c>
      <c r="G76" s="23" t="n">
        <f aca="false">OPEX!$C$12</f>
        <v>1558.25</v>
      </c>
      <c r="H76" s="24" t="n">
        <f aca="false">E76-F76-G76</f>
        <v>1964.2495210084</v>
      </c>
      <c r="I76" s="24" t="n">
        <f aca="false">I75+H76</f>
        <v>98963.0357843457</v>
      </c>
      <c r="J76" s="24" t="n">
        <f aca="false">I76-CAPEX!$E$13</f>
        <v>34828.0357843457</v>
      </c>
    </row>
    <row r="77" customFormat="false" ht="15" hidden="false" customHeight="false" outlineLevel="0" collapsed="false">
      <c r="B77" s="25" t="n">
        <v>72</v>
      </c>
      <c r="C77" s="37" t="n">
        <f aca="false">MIN(1,B77/Inputs!$C$57)</f>
        <v>1</v>
      </c>
      <c r="D77" s="25" t="n">
        <f aca="false">ROUND(C77*PnL!$C$12,0)</f>
        <v>350</v>
      </c>
      <c r="E77" s="24" t="n">
        <f aca="false">D77*PnL!$C$22</f>
        <v>3756.3025210084</v>
      </c>
      <c r="F77" s="24" t="n">
        <f aca="false">D77*PnL!$C$23</f>
        <v>233.803</v>
      </c>
      <c r="G77" s="23" t="n">
        <f aca="false">OPEX!$C$12</f>
        <v>1558.25</v>
      </c>
      <c r="H77" s="24" t="n">
        <f aca="false">E77-F77-G77</f>
        <v>1964.2495210084</v>
      </c>
      <c r="I77" s="24" t="n">
        <f aca="false">I76+H77</f>
        <v>100927.285305354</v>
      </c>
      <c r="J77" s="24" t="n">
        <f aca="false">I77-CAPEX!$E$13</f>
        <v>36792.2853053541</v>
      </c>
    </row>
    <row r="79" customFormat="false" ht="15" hidden="false" customHeight="false" outlineLevel="0" collapsed="false">
      <c r="B79" s="4" t="s">
        <v>316</v>
      </c>
      <c r="E79" s="36" t="n">
        <f aca="false">IF(COUNTIF(H6:H77,"&lt;0")&gt;=72,"beyond 72 months",COUNTIF(H6:H77,"&lt;0")+1)</f>
        <v>11</v>
      </c>
      <c r="G79" s="15" t="s">
        <v>317</v>
      </c>
    </row>
    <row r="80" customFormat="false" ht="15" hidden="false" customHeight="false" outlineLevel="0" collapsed="false">
      <c r="B80" s="4" t="s">
        <v>318</v>
      </c>
      <c r="E80" s="46" t="n">
        <f aca="false">IF(COUNTIF(J6:J77,"&lt;0")&gt;=72,"beyond 72 months",COUNTIF(J6:J77,"&lt;0")+1)</f>
        <v>54</v>
      </c>
      <c r="G80" s="15" t="s">
        <v>319</v>
      </c>
    </row>
    <row r="81" customFormat="false" ht="15" hidden="false" customHeight="false" outlineLevel="0" collapsed="false">
      <c r="B81" s="4" t="s">
        <v>320</v>
      </c>
      <c r="E81" s="47" t="n">
        <f aca="false">J77</f>
        <v>36792.2853053541</v>
      </c>
      <c r="G81" s="15" t="s">
        <v>321</v>
      </c>
    </row>
    <row r="84" customFormat="false" ht="15" hidden="false" customHeight="false" outlineLevel="0" collapsed="false">
      <c r="B84" s="10" t="s">
        <v>52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2026-09-08T20:41:25Z</dcterms:created>
  <dc:creator>openpyxl</dc:creator>
  <dc:description/>
  <dc:language>en-US</dc:language>
  <cp:lastModifiedBy/>
  <dcterms:modified xsi:type="dcterms:W3CDTF">2026-10-25T22:14:13Z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